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WHSSC Y Drive\Planning 07\07-05 Annual Plan\2018-19\Development\Final Submission v2.0\"/>
    </mc:Choice>
  </mc:AlternateContent>
  <bookViews>
    <workbookView xWindow="0" yWindow="0" windowWidth="20340" windowHeight="5535"/>
  </bookViews>
  <sheets>
    <sheet name="Summary " sheetId="21" r:id="rId1"/>
    <sheet name="Summary Including HRG4+" sheetId="1" state="hidden" r:id="rId2"/>
    <sheet name="Table 2 - Income" sheetId="25" r:id="rId3"/>
    <sheet name="Table 3 - Rollover Baseline" sheetId="19" r:id="rId4"/>
    <sheet name="Table 4 - Welsh Inflation" sheetId="22" r:id="rId5"/>
    <sheet name="Table 5 - VBC Workstreams" sheetId="9" r:id="rId6"/>
    <sheet name="Table 6 - Growth" sheetId="11" r:id="rId7"/>
    <sheet name="Table 7 - Horizon Scanning" sheetId="12" r:id="rId8"/>
    <sheet name="Table 8 - New Services" sheetId="18" r:id="rId9"/>
    <sheet name="Table 9 - CIAG Schemes" sheetId="20" r:id="rId10"/>
    <sheet name="Table 10 - EASC &amp; QAT" sheetId="23" r:id="rId11"/>
    <sheet name="Commissioner Splits" sheetId="14" state="hidden" r:id="rId12"/>
  </sheets>
  <externalReferences>
    <externalReference r:id="rId13"/>
    <externalReference r:id="rId14"/>
    <externalReference r:id="rId15"/>
  </externalReferences>
  <definedNames>
    <definedName name="_xlnm._FilterDatabase" localSheetId="11" hidden="1">'Commissioner Splits'!$A$3:$V$322</definedName>
    <definedName name="_xlnm._FilterDatabase" localSheetId="3" hidden="1">'Table 3 - Rollover Baseline'!$A$20:$AE$141</definedName>
    <definedName name="_xlnm._FilterDatabase" localSheetId="4" hidden="1">'Table 4 - Welsh Inflation'!#REF!</definedName>
    <definedName name="_xlnm._FilterDatabase" localSheetId="5" hidden="1">'Table 5 - VBC Workstreams'!#REF!</definedName>
    <definedName name="_xlnm._FilterDatabase" localSheetId="6" hidden="1">'Table 6 - Growth'!#REF!</definedName>
    <definedName name="_xlnm._FilterDatabase" localSheetId="7" hidden="1">'Table 7 - Horizon Scanning'!#REF!</definedName>
    <definedName name="_xlnm._FilterDatabase" localSheetId="8" hidden="1">'Table 8 - New Services'!#REF!</definedName>
    <definedName name="_xlnm._FilterDatabase" localSheetId="9" hidden="1">'Table 9 - CIAG Schemes'!#REF!</definedName>
    <definedName name="_xlnm.Print_Area" localSheetId="11">'Commissioner Splits'!$A$1:$K$322</definedName>
    <definedName name="_xlnm.Print_Area" localSheetId="0">'Summary '!$A$1:$K$39</definedName>
    <definedName name="_xlnm.Print_Area" localSheetId="1">'Summary Including HRG4+'!$A$1:$J$29</definedName>
    <definedName name="_xlnm.Print_Area" localSheetId="10">'Table 10 - EASC &amp; QAT'!#REF!</definedName>
    <definedName name="_xlnm.Print_Area" localSheetId="2">'Table 2 - Income'!$A$1:$R$15</definedName>
    <definedName name="_xlnm.Print_Area" localSheetId="3">'Table 3 - Rollover Baseline'!$A$1:$R$217</definedName>
    <definedName name="_xlnm.Print_Area" localSheetId="4">'Table 4 - Welsh Inflation'!$B$1:$R$18</definedName>
    <definedName name="_xlnm.Print_Area" localSheetId="5">'Table 5 - VBC Workstreams'!$B$1:$R$22</definedName>
    <definedName name="_xlnm.Print_Area" localSheetId="6">'Table 6 - Growth'!$A$1:$R$41</definedName>
    <definedName name="_xlnm.Print_Area" localSheetId="7">'Table 7 - Horizon Scanning'!$B$1:$R$17</definedName>
    <definedName name="_xlnm.Print_Area" localSheetId="8">'Table 8 - New Services'!$B$1:$R$19</definedName>
    <definedName name="_xlnm.Print_Area" localSheetId="9">'Table 9 - CIAG Schemes'!$A$1:$P$51</definedName>
    <definedName name="Z_83045E04_3145_4EC9_97F3_7B0B4E8D5592_.wvu.PrintArea" localSheetId="11" hidden="1">'Commissioner Splits'!$A$1:$K$322</definedName>
    <definedName name="Z_83045E04_3145_4EC9_97F3_7B0B4E8D5592_.wvu.PrintArea" localSheetId="2" hidden="1">'Table 2 - Income'!$A$1:$R$14</definedName>
    <definedName name="Z_83045E04_3145_4EC9_97F3_7B0B4E8D5592_.wvu.PrintArea" localSheetId="3" hidden="1">'Table 3 - Rollover Baseline'!$A$1:$R$165</definedName>
    <definedName name="Z_83045E04_3145_4EC9_97F3_7B0B4E8D5592_.wvu.PrintArea" localSheetId="4" hidden="1">'Table 4 - Welsh Inflation'!$A$1:$R$16</definedName>
    <definedName name="Z_83045E04_3145_4EC9_97F3_7B0B4E8D5592_.wvu.PrintArea" localSheetId="5" hidden="1">'Table 5 - VBC Workstreams'!$A$1:$R$18</definedName>
    <definedName name="Z_83045E04_3145_4EC9_97F3_7B0B4E8D5592_.wvu.PrintArea" localSheetId="6" hidden="1">'Table 6 - Growth'!$A$1:$R$6</definedName>
    <definedName name="Z_83045E04_3145_4EC9_97F3_7B0B4E8D5592_.wvu.PrintArea" localSheetId="7" hidden="1">'Table 7 - Horizon Scanning'!$A$1:$R$6</definedName>
    <definedName name="Z_83045E04_3145_4EC9_97F3_7B0B4E8D5592_.wvu.PrintArea" localSheetId="8" hidden="1">'Table 8 - New Services'!$A$1:$R$6</definedName>
    <definedName name="Z_83045E04_3145_4EC9_97F3_7B0B4E8D5592_.wvu.PrintArea" localSheetId="9" hidden="1">'Table 9 - CIAG Schemes'!$A$1:$P$6</definedName>
    <definedName name="Z_A1A3F735_746F_4F56_A7AB_D2B541967907_.wvu.PrintArea" localSheetId="11" hidden="1">'Commissioner Splits'!$A$1:$K$322</definedName>
    <definedName name="Z_A1A3F735_746F_4F56_A7AB_D2B541967907_.wvu.PrintArea" localSheetId="2" hidden="1">'Table 2 - Income'!$A$1:$R$14</definedName>
    <definedName name="Z_A1A3F735_746F_4F56_A7AB_D2B541967907_.wvu.PrintArea" localSheetId="3" hidden="1">'Table 3 - Rollover Baseline'!$A$1:$R$165</definedName>
    <definedName name="Z_A1A3F735_746F_4F56_A7AB_D2B541967907_.wvu.PrintArea" localSheetId="4" hidden="1">'Table 4 - Welsh Inflation'!$A$1:$R$16</definedName>
    <definedName name="Z_A1A3F735_746F_4F56_A7AB_D2B541967907_.wvu.PrintArea" localSheetId="5" hidden="1">'Table 5 - VBC Workstreams'!$A$1:$R$18</definedName>
    <definedName name="Z_A1A3F735_746F_4F56_A7AB_D2B541967907_.wvu.PrintArea" localSheetId="6" hidden="1">'Table 6 - Growth'!$A$1:$R$6</definedName>
    <definedName name="Z_A1A3F735_746F_4F56_A7AB_D2B541967907_.wvu.PrintArea" localSheetId="7" hidden="1">'Table 7 - Horizon Scanning'!$A$1:$R$6</definedName>
    <definedName name="Z_A1A3F735_746F_4F56_A7AB_D2B541967907_.wvu.PrintArea" localSheetId="8" hidden="1">'Table 8 - New Services'!$A$1:$R$6</definedName>
    <definedName name="Z_A1A3F735_746F_4F56_A7AB_D2B541967907_.wvu.PrintArea" localSheetId="9" hidden="1">'Table 9 - CIAG Schemes'!$A$1:$P$6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1" l="1"/>
  <c r="E5" i="21"/>
  <c r="F5" i="21"/>
  <c r="G5" i="21"/>
  <c r="H5" i="21"/>
  <c r="I5" i="21"/>
  <c r="C5" i="21"/>
  <c r="Q13" i="25" l="1"/>
  <c r="P13" i="25"/>
  <c r="O13" i="25"/>
  <c r="N13" i="25"/>
  <c r="M13" i="25"/>
  <c r="L13" i="25"/>
  <c r="K13" i="25"/>
  <c r="G13" i="25"/>
  <c r="F13" i="25"/>
  <c r="E13" i="25"/>
  <c r="R12" i="25"/>
  <c r="R11" i="25"/>
  <c r="R13" i="25" l="1"/>
  <c r="J5" i="21" l="1"/>
  <c r="D34" i="21"/>
  <c r="E34" i="21"/>
  <c r="F34" i="21"/>
  <c r="G34" i="21"/>
  <c r="H34" i="21"/>
  <c r="I34" i="21"/>
  <c r="C34" i="21"/>
  <c r="A1" i="23" l="1"/>
  <c r="W51" i="23" l="1"/>
  <c r="J19" i="23"/>
  <c r="F21" i="9" l="1"/>
  <c r="G21" i="9"/>
  <c r="J29" i="19" l="1"/>
  <c r="K29" i="19"/>
  <c r="L29" i="19"/>
  <c r="M29" i="19"/>
  <c r="N29" i="19"/>
  <c r="O29" i="19"/>
  <c r="P29" i="19"/>
  <c r="Q29" i="19"/>
  <c r="R29" i="19" l="1"/>
  <c r="J103" i="19" l="1"/>
  <c r="J75" i="19" l="1"/>
  <c r="K75" i="19"/>
  <c r="L75" i="19"/>
  <c r="M75" i="19"/>
  <c r="N75" i="19"/>
  <c r="O75" i="19"/>
  <c r="P75" i="19"/>
  <c r="Q75" i="19"/>
  <c r="Q15" i="19"/>
  <c r="P15" i="19"/>
  <c r="O15" i="19"/>
  <c r="N15" i="19"/>
  <c r="M15" i="19"/>
  <c r="L15" i="19"/>
  <c r="K15" i="19"/>
  <c r="G15" i="19"/>
  <c r="F15" i="19"/>
  <c r="E15" i="19"/>
  <c r="R14" i="19"/>
  <c r="R13" i="19"/>
  <c r="R12" i="19"/>
  <c r="R11" i="19"/>
  <c r="J100" i="19"/>
  <c r="K100" i="19"/>
  <c r="L100" i="19"/>
  <c r="M100" i="19"/>
  <c r="N100" i="19"/>
  <c r="O100" i="19"/>
  <c r="P100" i="19"/>
  <c r="Q100" i="19"/>
  <c r="Q119" i="19"/>
  <c r="P119" i="19"/>
  <c r="O119" i="19"/>
  <c r="N119" i="19"/>
  <c r="M119" i="19"/>
  <c r="L119" i="19"/>
  <c r="K119" i="19"/>
  <c r="J119" i="19"/>
  <c r="Q118" i="19"/>
  <c r="P118" i="19"/>
  <c r="O118" i="19"/>
  <c r="N118" i="19"/>
  <c r="M118" i="19"/>
  <c r="L118" i="19"/>
  <c r="K118" i="19"/>
  <c r="J118" i="19"/>
  <c r="Q117" i="19"/>
  <c r="P117" i="19"/>
  <c r="O117" i="19"/>
  <c r="N117" i="19"/>
  <c r="M117" i="19"/>
  <c r="L117" i="19"/>
  <c r="K117" i="19"/>
  <c r="J117" i="19"/>
  <c r="Q116" i="19"/>
  <c r="P116" i="19"/>
  <c r="O116" i="19"/>
  <c r="N116" i="19"/>
  <c r="M116" i="19"/>
  <c r="L116" i="19"/>
  <c r="K116" i="19"/>
  <c r="J116" i="19"/>
  <c r="Q115" i="19"/>
  <c r="P115" i="19"/>
  <c r="O115" i="19"/>
  <c r="N115" i="19"/>
  <c r="M115" i="19"/>
  <c r="L115" i="19"/>
  <c r="K115" i="19"/>
  <c r="J115" i="19"/>
  <c r="Q114" i="19"/>
  <c r="P114" i="19"/>
  <c r="O114" i="19"/>
  <c r="N114" i="19"/>
  <c r="M114" i="19"/>
  <c r="L114" i="19"/>
  <c r="K114" i="19"/>
  <c r="J114" i="19"/>
  <c r="Q113" i="19"/>
  <c r="P113" i="19"/>
  <c r="O113" i="19"/>
  <c r="N113" i="19"/>
  <c r="M113" i="19"/>
  <c r="L113" i="19"/>
  <c r="K113" i="19"/>
  <c r="J113" i="19"/>
  <c r="Q112" i="19"/>
  <c r="P112" i="19"/>
  <c r="O112" i="19"/>
  <c r="N112" i="19"/>
  <c r="M112" i="19"/>
  <c r="L112" i="19"/>
  <c r="K112" i="19"/>
  <c r="J112" i="19"/>
  <c r="Q111" i="19"/>
  <c r="P111" i="19"/>
  <c r="O111" i="19"/>
  <c r="N111" i="19"/>
  <c r="M111" i="19"/>
  <c r="L111" i="19"/>
  <c r="K111" i="19"/>
  <c r="J111" i="19"/>
  <c r="Q110" i="19"/>
  <c r="P110" i="19"/>
  <c r="O110" i="19"/>
  <c r="N110" i="19"/>
  <c r="M110" i="19"/>
  <c r="L110" i="19"/>
  <c r="K110" i="19"/>
  <c r="J110" i="19"/>
  <c r="Q109" i="19"/>
  <c r="P109" i="19"/>
  <c r="O109" i="19"/>
  <c r="N109" i="19"/>
  <c r="M109" i="19"/>
  <c r="L109" i="19"/>
  <c r="K109" i="19"/>
  <c r="J109" i="19"/>
  <c r="Q108" i="19"/>
  <c r="P108" i="19"/>
  <c r="O108" i="19"/>
  <c r="N108" i="19"/>
  <c r="M108" i="19"/>
  <c r="L108" i="19"/>
  <c r="K108" i="19"/>
  <c r="J108" i="19"/>
  <c r="Q107" i="19"/>
  <c r="P107" i="19"/>
  <c r="O107" i="19"/>
  <c r="N107" i="19"/>
  <c r="M107" i="19"/>
  <c r="L107" i="19"/>
  <c r="K107" i="19"/>
  <c r="J107" i="19"/>
  <c r="Q106" i="19"/>
  <c r="P106" i="19"/>
  <c r="O106" i="19"/>
  <c r="N106" i="19"/>
  <c r="M106" i="19"/>
  <c r="L106" i="19"/>
  <c r="K106" i="19"/>
  <c r="J106" i="19"/>
  <c r="Q105" i="19"/>
  <c r="P105" i="19"/>
  <c r="O105" i="19"/>
  <c r="N105" i="19"/>
  <c r="M105" i="19"/>
  <c r="L105" i="19"/>
  <c r="K105" i="19"/>
  <c r="J105" i="19"/>
  <c r="Q104" i="19"/>
  <c r="P104" i="19"/>
  <c r="O104" i="19"/>
  <c r="N104" i="19"/>
  <c r="M104" i="19"/>
  <c r="L104" i="19"/>
  <c r="K104" i="19"/>
  <c r="J104" i="19"/>
  <c r="Q103" i="19"/>
  <c r="P103" i="19"/>
  <c r="O103" i="19"/>
  <c r="N103" i="19"/>
  <c r="M103" i="19"/>
  <c r="L103" i="19"/>
  <c r="K103" i="19"/>
  <c r="Q102" i="19"/>
  <c r="P102" i="19"/>
  <c r="O102" i="19"/>
  <c r="N102" i="19"/>
  <c r="M102" i="19"/>
  <c r="L102" i="19"/>
  <c r="K102" i="19"/>
  <c r="J102" i="19"/>
  <c r="Q101" i="19"/>
  <c r="P101" i="19"/>
  <c r="O101" i="19"/>
  <c r="N101" i="19"/>
  <c r="M101" i="19"/>
  <c r="L101" i="19"/>
  <c r="K101" i="19"/>
  <c r="J101" i="19"/>
  <c r="Q99" i="19"/>
  <c r="P99" i="19"/>
  <c r="O99" i="19"/>
  <c r="N99" i="19"/>
  <c r="M99" i="19"/>
  <c r="L99" i="19"/>
  <c r="K99" i="19"/>
  <c r="J99" i="19"/>
  <c r="Q98" i="19"/>
  <c r="P98" i="19"/>
  <c r="O98" i="19"/>
  <c r="N98" i="19"/>
  <c r="M98" i="19"/>
  <c r="L98" i="19"/>
  <c r="K98" i="19"/>
  <c r="J98" i="19"/>
  <c r="Q97" i="19"/>
  <c r="P97" i="19"/>
  <c r="O97" i="19"/>
  <c r="N97" i="19"/>
  <c r="M97" i="19"/>
  <c r="L97" i="19"/>
  <c r="K97" i="19"/>
  <c r="J97" i="19"/>
  <c r="Q96" i="19"/>
  <c r="P96" i="19"/>
  <c r="O96" i="19"/>
  <c r="N96" i="19"/>
  <c r="M96" i="19"/>
  <c r="L96" i="19"/>
  <c r="K96" i="19"/>
  <c r="J96" i="19"/>
  <c r="Q95" i="19"/>
  <c r="P95" i="19"/>
  <c r="O95" i="19"/>
  <c r="N95" i="19"/>
  <c r="M95" i="19"/>
  <c r="L95" i="19"/>
  <c r="K95" i="19"/>
  <c r="Q94" i="19"/>
  <c r="P94" i="19"/>
  <c r="O94" i="19"/>
  <c r="N94" i="19"/>
  <c r="M94" i="19"/>
  <c r="L94" i="19"/>
  <c r="K94" i="19"/>
  <c r="J94" i="19"/>
  <c r="Q93" i="19"/>
  <c r="P93" i="19"/>
  <c r="O93" i="19"/>
  <c r="N93" i="19"/>
  <c r="M93" i="19"/>
  <c r="L93" i="19"/>
  <c r="K93" i="19"/>
  <c r="J93" i="19"/>
  <c r="Q92" i="19"/>
  <c r="P92" i="19"/>
  <c r="O92" i="19"/>
  <c r="N92" i="19"/>
  <c r="M92" i="19"/>
  <c r="L92" i="19"/>
  <c r="K92" i="19"/>
  <c r="J92" i="19"/>
  <c r="Q91" i="19"/>
  <c r="P91" i="19"/>
  <c r="O91" i="19"/>
  <c r="N91" i="19"/>
  <c r="M91" i="19"/>
  <c r="L91" i="19"/>
  <c r="K91" i="19"/>
  <c r="J91" i="19"/>
  <c r="Q140" i="19"/>
  <c r="P140" i="19"/>
  <c r="O140" i="19"/>
  <c r="N140" i="19"/>
  <c r="M140" i="19"/>
  <c r="L140" i="19"/>
  <c r="K140" i="19"/>
  <c r="J140" i="19"/>
  <c r="Q139" i="19"/>
  <c r="P139" i="19"/>
  <c r="O139" i="19"/>
  <c r="N139" i="19"/>
  <c r="M139" i="19"/>
  <c r="L139" i="19"/>
  <c r="K139" i="19"/>
  <c r="J139" i="19"/>
  <c r="Q138" i="19"/>
  <c r="P138" i="19"/>
  <c r="O138" i="19"/>
  <c r="N138" i="19"/>
  <c r="M138" i="19"/>
  <c r="L138" i="19"/>
  <c r="K138" i="19"/>
  <c r="J138" i="19"/>
  <c r="Q137" i="19"/>
  <c r="P137" i="19"/>
  <c r="O137" i="19"/>
  <c r="N137" i="19"/>
  <c r="M137" i="19"/>
  <c r="L137" i="19"/>
  <c r="K137" i="19"/>
  <c r="J137" i="19"/>
  <c r="Q136" i="19"/>
  <c r="P136" i="19"/>
  <c r="O136" i="19"/>
  <c r="N136" i="19"/>
  <c r="M136" i="19"/>
  <c r="L136" i="19"/>
  <c r="K136" i="19"/>
  <c r="J136" i="19"/>
  <c r="Q135" i="19"/>
  <c r="P135" i="19"/>
  <c r="O135" i="19"/>
  <c r="N135" i="19"/>
  <c r="M135" i="19"/>
  <c r="L135" i="19"/>
  <c r="K135" i="19"/>
  <c r="J135" i="19"/>
  <c r="Q134" i="19"/>
  <c r="P134" i="19"/>
  <c r="O134" i="19"/>
  <c r="N134" i="19"/>
  <c r="M134" i="19"/>
  <c r="L134" i="19"/>
  <c r="K134" i="19"/>
  <c r="J134" i="19"/>
  <c r="Q133" i="19"/>
  <c r="P133" i="19"/>
  <c r="O133" i="19"/>
  <c r="N133" i="19"/>
  <c r="M133" i="19"/>
  <c r="L133" i="19"/>
  <c r="K133" i="19"/>
  <c r="J133" i="19"/>
  <c r="Q132" i="19"/>
  <c r="P132" i="19"/>
  <c r="O132" i="19"/>
  <c r="N132" i="19"/>
  <c r="M132" i="19"/>
  <c r="L132" i="19"/>
  <c r="K132" i="19"/>
  <c r="J132" i="19"/>
  <c r="Q131" i="19"/>
  <c r="P131" i="19"/>
  <c r="O131" i="19"/>
  <c r="N131" i="19"/>
  <c r="M131" i="19"/>
  <c r="L131" i="19"/>
  <c r="K131" i="19"/>
  <c r="J131" i="19"/>
  <c r="Q130" i="19"/>
  <c r="P130" i="19"/>
  <c r="O130" i="19"/>
  <c r="N130" i="19"/>
  <c r="M130" i="19"/>
  <c r="L130" i="19"/>
  <c r="K130" i="19"/>
  <c r="J130" i="19"/>
  <c r="Q129" i="19"/>
  <c r="P129" i="19"/>
  <c r="O129" i="19"/>
  <c r="N129" i="19"/>
  <c r="M129" i="19"/>
  <c r="L129" i="19"/>
  <c r="K129" i="19"/>
  <c r="J129" i="19"/>
  <c r="Q128" i="19"/>
  <c r="P128" i="19"/>
  <c r="O128" i="19"/>
  <c r="N128" i="19"/>
  <c r="M128" i="19"/>
  <c r="L128" i="19"/>
  <c r="K128" i="19"/>
  <c r="J128" i="19"/>
  <c r="Q127" i="19"/>
  <c r="P127" i="19"/>
  <c r="O127" i="19"/>
  <c r="N127" i="19"/>
  <c r="M127" i="19"/>
  <c r="L127" i="19"/>
  <c r="K127" i="19"/>
  <c r="J127" i="19"/>
  <c r="Q126" i="19"/>
  <c r="P126" i="19"/>
  <c r="O126" i="19"/>
  <c r="N126" i="19"/>
  <c r="M126" i="19"/>
  <c r="L126" i="19"/>
  <c r="K126" i="19"/>
  <c r="J126" i="19"/>
  <c r="Q125" i="19"/>
  <c r="P125" i="19"/>
  <c r="O125" i="19"/>
  <c r="N125" i="19"/>
  <c r="M125" i="19"/>
  <c r="L125" i="19"/>
  <c r="K125" i="19"/>
  <c r="J125" i="19"/>
  <c r="Q124" i="19"/>
  <c r="P124" i="19"/>
  <c r="O124" i="19"/>
  <c r="N124" i="19"/>
  <c r="M124" i="19"/>
  <c r="L124" i="19"/>
  <c r="K124" i="19"/>
  <c r="J124" i="19"/>
  <c r="Q123" i="19"/>
  <c r="P123" i="19"/>
  <c r="O123" i="19"/>
  <c r="N123" i="19"/>
  <c r="M123" i="19"/>
  <c r="L123" i="19"/>
  <c r="K123" i="19"/>
  <c r="J123" i="19"/>
  <c r="Q122" i="19"/>
  <c r="P122" i="19"/>
  <c r="O122" i="19"/>
  <c r="N122" i="19"/>
  <c r="M122" i="19"/>
  <c r="L122" i="19"/>
  <c r="K122" i="19"/>
  <c r="J122" i="19"/>
  <c r="Q121" i="19"/>
  <c r="P121" i="19"/>
  <c r="O121" i="19"/>
  <c r="N121" i="19"/>
  <c r="M121" i="19"/>
  <c r="L121" i="19"/>
  <c r="K121" i="19"/>
  <c r="J121" i="19"/>
  <c r="Q120" i="19"/>
  <c r="P120" i="19"/>
  <c r="O120" i="19"/>
  <c r="N120" i="19"/>
  <c r="M120" i="19"/>
  <c r="L120" i="19"/>
  <c r="K120" i="19"/>
  <c r="J120" i="19"/>
  <c r="Q90" i="19"/>
  <c r="P90" i="19"/>
  <c r="O90" i="19"/>
  <c r="N90" i="19"/>
  <c r="M90" i="19"/>
  <c r="L90" i="19"/>
  <c r="K90" i="19"/>
  <c r="J90" i="19"/>
  <c r="Q89" i="19"/>
  <c r="P89" i="19"/>
  <c r="O89" i="19"/>
  <c r="N89" i="19"/>
  <c r="M89" i="19"/>
  <c r="L89" i="19"/>
  <c r="K89" i="19"/>
  <c r="J89" i="19"/>
  <c r="Q88" i="19"/>
  <c r="P88" i="19"/>
  <c r="O88" i="19"/>
  <c r="N88" i="19"/>
  <c r="M88" i="19"/>
  <c r="L88" i="19"/>
  <c r="K88" i="19"/>
  <c r="J88" i="19"/>
  <c r="Q87" i="19"/>
  <c r="P87" i="19"/>
  <c r="O87" i="19"/>
  <c r="N87" i="19"/>
  <c r="M87" i="19"/>
  <c r="L87" i="19"/>
  <c r="K87" i="19"/>
  <c r="J87" i="19"/>
  <c r="Q86" i="19"/>
  <c r="P86" i="19"/>
  <c r="O86" i="19"/>
  <c r="N86" i="19"/>
  <c r="M86" i="19"/>
  <c r="L86" i="19"/>
  <c r="K86" i="19"/>
  <c r="J86" i="19"/>
  <c r="Q85" i="19"/>
  <c r="P85" i="19"/>
  <c r="O85" i="19"/>
  <c r="N85" i="19"/>
  <c r="M85" i="19"/>
  <c r="L85" i="19"/>
  <c r="K85" i="19"/>
  <c r="J85" i="19"/>
  <c r="Q84" i="19"/>
  <c r="P84" i="19"/>
  <c r="O84" i="19"/>
  <c r="N84" i="19"/>
  <c r="M84" i="19"/>
  <c r="L84" i="19"/>
  <c r="K84" i="19"/>
  <c r="J84" i="19"/>
  <c r="Q83" i="19"/>
  <c r="P83" i="19"/>
  <c r="O83" i="19"/>
  <c r="N83" i="19"/>
  <c r="M83" i="19"/>
  <c r="L83" i="19"/>
  <c r="K83" i="19"/>
  <c r="Q82" i="19"/>
  <c r="P82" i="19"/>
  <c r="O82" i="19"/>
  <c r="N82" i="19"/>
  <c r="M82" i="19"/>
  <c r="L82" i="19"/>
  <c r="K82" i="19"/>
  <c r="J82" i="19"/>
  <c r="Q81" i="19"/>
  <c r="P81" i="19"/>
  <c r="O81" i="19"/>
  <c r="N81" i="19"/>
  <c r="M81" i="19"/>
  <c r="L81" i="19"/>
  <c r="K81" i="19"/>
  <c r="J81" i="19"/>
  <c r="Q80" i="19"/>
  <c r="P80" i="19"/>
  <c r="O80" i="19"/>
  <c r="N80" i="19"/>
  <c r="M80" i="19"/>
  <c r="L80" i="19"/>
  <c r="K80" i="19"/>
  <c r="J80" i="19"/>
  <c r="Q79" i="19"/>
  <c r="P79" i="19"/>
  <c r="O79" i="19"/>
  <c r="N79" i="19"/>
  <c r="M79" i="19"/>
  <c r="L79" i="19"/>
  <c r="K79" i="19"/>
  <c r="J79" i="19"/>
  <c r="Q78" i="19"/>
  <c r="P78" i="19"/>
  <c r="O78" i="19"/>
  <c r="N78" i="19"/>
  <c r="M78" i="19"/>
  <c r="L78" i="19"/>
  <c r="K78" i="19"/>
  <c r="J78" i="19"/>
  <c r="Q77" i="19"/>
  <c r="P77" i="19"/>
  <c r="O77" i="19"/>
  <c r="N77" i="19"/>
  <c r="M77" i="19"/>
  <c r="L77" i="19"/>
  <c r="K77" i="19"/>
  <c r="J77" i="19"/>
  <c r="Q76" i="19"/>
  <c r="P76" i="19"/>
  <c r="O76" i="19"/>
  <c r="N76" i="19"/>
  <c r="M76" i="19"/>
  <c r="L76" i="19"/>
  <c r="K76" i="19"/>
  <c r="J76" i="19"/>
  <c r="J50" i="19"/>
  <c r="K50" i="19"/>
  <c r="L50" i="19"/>
  <c r="M50" i="19"/>
  <c r="N50" i="19"/>
  <c r="O50" i="19"/>
  <c r="P50" i="19"/>
  <c r="Q50" i="19"/>
  <c r="J51" i="19"/>
  <c r="K51" i="19"/>
  <c r="L51" i="19"/>
  <c r="M51" i="19"/>
  <c r="N51" i="19"/>
  <c r="O51" i="19"/>
  <c r="P51" i="19"/>
  <c r="Q51" i="19"/>
  <c r="J52" i="19"/>
  <c r="K52" i="19"/>
  <c r="L52" i="19"/>
  <c r="M52" i="19"/>
  <c r="N52" i="19"/>
  <c r="O52" i="19"/>
  <c r="P52" i="19"/>
  <c r="Q52" i="19"/>
  <c r="J53" i="19"/>
  <c r="K53" i="19"/>
  <c r="L53" i="19"/>
  <c r="M53" i="19"/>
  <c r="N53" i="19"/>
  <c r="O53" i="19"/>
  <c r="P53" i="19"/>
  <c r="Q53" i="19"/>
  <c r="J54" i="19"/>
  <c r="K54" i="19"/>
  <c r="L54" i="19"/>
  <c r="M54" i="19"/>
  <c r="N54" i="19"/>
  <c r="O54" i="19"/>
  <c r="P54" i="19"/>
  <c r="Q54" i="19"/>
  <c r="J55" i="19"/>
  <c r="K55" i="19"/>
  <c r="L55" i="19"/>
  <c r="M55" i="19"/>
  <c r="N55" i="19"/>
  <c r="O55" i="19"/>
  <c r="P55" i="19"/>
  <c r="Q55" i="19"/>
  <c r="J56" i="19"/>
  <c r="K56" i="19"/>
  <c r="L56" i="19"/>
  <c r="M56" i="19"/>
  <c r="N56" i="19"/>
  <c r="O56" i="19"/>
  <c r="P56" i="19"/>
  <c r="Q56" i="19"/>
  <c r="J57" i="19"/>
  <c r="K57" i="19"/>
  <c r="L57" i="19"/>
  <c r="M57" i="19"/>
  <c r="N57" i="19"/>
  <c r="O57" i="19"/>
  <c r="P57" i="19"/>
  <c r="Q57" i="19"/>
  <c r="J58" i="19"/>
  <c r="K58" i="19"/>
  <c r="L58" i="19"/>
  <c r="M58" i="19"/>
  <c r="N58" i="19"/>
  <c r="O58" i="19"/>
  <c r="P58" i="19"/>
  <c r="Q58" i="19"/>
  <c r="J59" i="19"/>
  <c r="K59" i="19"/>
  <c r="L59" i="19"/>
  <c r="M59" i="19"/>
  <c r="N59" i="19"/>
  <c r="O59" i="19"/>
  <c r="P59" i="19"/>
  <c r="Q59" i="19"/>
  <c r="J60" i="19"/>
  <c r="K60" i="19"/>
  <c r="L60" i="19"/>
  <c r="M60" i="19"/>
  <c r="N60" i="19"/>
  <c r="O60" i="19"/>
  <c r="P60" i="19"/>
  <c r="Q60" i="19"/>
  <c r="J61" i="19"/>
  <c r="K61" i="19"/>
  <c r="L61" i="19"/>
  <c r="M61" i="19"/>
  <c r="N61" i="19"/>
  <c r="O61" i="19"/>
  <c r="P61" i="19"/>
  <c r="Q61" i="19"/>
  <c r="J62" i="19"/>
  <c r="K62" i="19"/>
  <c r="L62" i="19"/>
  <c r="M62" i="19"/>
  <c r="N62" i="19"/>
  <c r="O62" i="19"/>
  <c r="P62" i="19"/>
  <c r="Q62" i="19"/>
  <c r="J63" i="19"/>
  <c r="K63" i="19"/>
  <c r="L63" i="19"/>
  <c r="M63" i="19"/>
  <c r="N63" i="19"/>
  <c r="O63" i="19"/>
  <c r="P63" i="19"/>
  <c r="Q63" i="19"/>
  <c r="J64" i="19"/>
  <c r="K64" i="19"/>
  <c r="L64" i="19"/>
  <c r="M64" i="19"/>
  <c r="N64" i="19"/>
  <c r="O64" i="19"/>
  <c r="P64" i="19"/>
  <c r="Q64" i="19"/>
  <c r="J65" i="19"/>
  <c r="K65" i="19"/>
  <c r="L65" i="19"/>
  <c r="M65" i="19"/>
  <c r="N65" i="19"/>
  <c r="O65" i="19"/>
  <c r="P65" i="19"/>
  <c r="Q65" i="19"/>
  <c r="J66" i="19"/>
  <c r="K66" i="19"/>
  <c r="L66" i="19"/>
  <c r="M66" i="19"/>
  <c r="N66" i="19"/>
  <c r="O66" i="19"/>
  <c r="P66" i="19"/>
  <c r="Q66" i="19"/>
  <c r="J67" i="19"/>
  <c r="K67" i="19"/>
  <c r="L67" i="19"/>
  <c r="M67" i="19"/>
  <c r="N67" i="19"/>
  <c r="O67" i="19"/>
  <c r="P67" i="19"/>
  <c r="Q67" i="19"/>
  <c r="J68" i="19"/>
  <c r="K68" i="19"/>
  <c r="L68" i="19"/>
  <c r="M68" i="19"/>
  <c r="N68" i="19"/>
  <c r="O68" i="19"/>
  <c r="P68" i="19"/>
  <c r="Q68" i="19"/>
  <c r="J69" i="19"/>
  <c r="K69" i="19"/>
  <c r="L69" i="19"/>
  <c r="M69" i="19"/>
  <c r="N69" i="19"/>
  <c r="O69" i="19"/>
  <c r="P69" i="19"/>
  <c r="Q69" i="19"/>
  <c r="J70" i="19"/>
  <c r="K70" i="19"/>
  <c r="L70" i="19"/>
  <c r="M70" i="19"/>
  <c r="N70" i="19"/>
  <c r="O70" i="19"/>
  <c r="P70" i="19"/>
  <c r="Q70" i="19"/>
  <c r="J71" i="19"/>
  <c r="K71" i="19"/>
  <c r="L71" i="19"/>
  <c r="M71" i="19"/>
  <c r="N71" i="19"/>
  <c r="O71" i="19"/>
  <c r="P71" i="19"/>
  <c r="Q71" i="19"/>
  <c r="J72" i="19"/>
  <c r="K72" i="19"/>
  <c r="L72" i="19"/>
  <c r="M72" i="19"/>
  <c r="N72" i="19"/>
  <c r="O72" i="19"/>
  <c r="P72" i="19"/>
  <c r="Q72" i="19"/>
  <c r="J73" i="19"/>
  <c r="K73" i="19"/>
  <c r="L73" i="19"/>
  <c r="M73" i="19"/>
  <c r="N73" i="19"/>
  <c r="O73" i="19"/>
  <c r="P73" i="19"/>
  <c r="Q73" i="19"/>
  <c r="J74" i="19"/>
  <c r="K74" i="19"/>
  <c r="L74" i="19"/>
  <c r="M74" i="19"/>
  <c r="N74" i="19"/>
  <c r="O74" i="19"/>
  <c r="P74" i="19"/>
  <c r="Q74" i="19"/>
  <c r="J141" i="19"/>
  <c r="K141" i="19"/>
  <c r="L141" i="19"/>
  <c r="M141" i="19"/>
  <c r="N141" i="19"/>
  <c r="O141" i="19"/>
  <c r="P141" i="19"/>
  <c r="Q141" i="19"/>
  <c r="Q49" i="19"/>
  <c r="P49" i="19"/>
  <c r="O49" i="19"/>
  <c r="N49" i="19"/>
  <c r="M49" i="19"/>
  <c r="L49" i="19"/>
  <c r="K49" i="19"/>
  <c r="J49" i="19"/>
  <c r="Q48" i="19"/>
  <c r="P48" i="19"/>
  <c r="O48" i="19"/>
  <c r="N48" i="19"/>
  <c r="M48" i="19"/>
  <c r="L48" i="19"/>
  <c r="K48" i="19"/>
  <c r="J48" i="19"/>
  <c r="Q47" i="19"/>
  <c r="P47" i="19"/>
  <c r="O47" i="19"/>
  <c r="N47" i="19"/>
  <c r="M47" i="19"/>
  <c r="L47" i="19"/>
  <c r="K47" i="19"/>
  <c r="J47" i="19"/>
  <c r="Q46" i="19"/>
  <c r="P46" i="19"/>
  <c r="O46" i="19"/>
  <c r="N46" i="19"/>
  <c r="M46" i="19"/>
  <c r="L46" i="19"/>
  <c r="K46" i="19"/>
  <c r="J46" i="19"/>
  <c r="Q45" i="19"/>
  <c r="P45" i="19"/>
  <c r="O45" i="19"/>
  <c r="N45" i="19"/>
  <c r="M45" i="19"/>
  <c r="L45" i="19"/>
  <c r="K45" i="19"/>
  <c r="J45" i="19"/>
  <c r="Q44" i="19"/>
  <c r="P44" i="19"/>
  <c r="O44" i="19"/>
  <c r="N44" i="19"/>
  <c r="M44" i="19"/>
  <c r="L44" i="19"/>
  <c r="K44" i="19"/>
  <c r="J44" i="19"/>
  <c r="Q43" i="19"/>
  <c r="P43" i="19"/>
  <c r="O43" i="19"/>
  <c r="N43" i="19"/>
  <c r="M43" i="19"/>
  <c r="L43" i="19"/>
  <c r="K43" i="19"/>
  <c r="J43" i="19"/>
  <c r="Q42" i="19"/>
  <c r="P42" i="19"/>
  <c r="O42" i="19"/>
  <c r="N42" i="19"/>
  <c r="M42" i="19"/>
  <c r="L42" i="19"/>
  <c r="K42" i="19"/>
  <c r="J42" i="19"/>
  <c r="Q41" i="19"/>
  <c r="P41" i="19"/>
  <c r="O41" i="19"/>
  <c r="N41" i="19"/>
  <c r="M41" i="19"/>
  <c r="L41" i="19"/>
  <c r="K41" i="19"/>
  <c r="J41" i="19"/>
  <c r="Q40" i="19"/>
  <c r="P40" i="19"/>
  <c r="O40" i="19"/>
  <c r="N40" i="19"/>
  <c r="M40" i="19"/>
  <c r="L40" i="19"/>
  <c r="K40" i="19"/>
  <c r="J40" i="19"/>
  <c r="Q39" i="19"/>
  <c r="P39" i="19"/>
  <c r="O39" i="19"/>
  <c r="N39" i="19"/>
  <c r="M39" i="19"/>
  <c r="L39" i="19"/>
  <c r="K39" i="19"/>
  <c r="J39" i="19"/>
  <c r="Q38" i="19"/>
  <c r="P38" i="19"/>
  <c r="O38" i="19"/>
  <c r="N38" i="19"/>
  <c r="M38" i="19"/>
  <c r="L38" i="19"/>
  <c r="K38" i="19"/>
  <c r="J38" i="19"/>
  <c r="Q37" i="19"/>
  <c r="P37" i="19"/>
  <c r="O37" i="19"/>
  <c r="N37" i="19"/>
  <c r="M37" i="19"/>
  <c r="L37" i="19"/>
  <c r="K37" i="19"/>
  <c r="J37" i="19"/>
  <c r="S143" i="19"/>
  <c r="T143" i="19"/>
  <c r="U143" i="19"/>
  <c r="V143" i="19"/>
  <c r="W143" i="19"/>
  <c r="X143" i="19"/>
  <c r="Y143" i="19"/>
  <c r="Z143" i="19"/>
  <c r="AA143" i="19"/>
  <c r="AB143" i="19"/>
  <c r="AC143" i="19"/>
  <c r="AD143" i="19"/>
  <c r="AE143" i="19"/>
  <c r="F143" i="19"/>
  <c r="G143" i="19"/>
  <c r="E143" i="19"/>
  <c r="J149" i="19"/>
  <c r="K149" i="19"/>
  <c r="L149" i="19"/>
  <c r="M149" i="19"/>
  <c r="N149" i="19"/>
  <c r="O149" i="19"/>
  <c r="P149" i="19"/>
  <c r="Q149" i="19"/>
  <c r="J150" i="19"/>
  <c r="K150" i="19"/>
  <c r="L150" i="19"/>
  <c r="M150" i="19"/>
  <c r="N150" i="19"/>
  <c r="O150" i="19"/>
  <c r="P150" i="19"/>
  <c r="Q150" i="19"/>
  <c r="J151" i="19"/>
  <c r="K151" i="19"/>
  <c r="L151" i="19"/>
  <c r="M151" i="19"/>
  <c r="N151" i="19"/>
  <c r="O151" i="19"/>
  <c r="P151" i="19"/>
  <c r="Q151" i="19"/>
  <c r="J152" i="19"/>
  <c r="K152" i="19"/>
  <c r="L152" i="19"/>
  <c r="M152" i="19"/>
  <c r="N152" i="19"/>
  <c r="O152" i="19"/>
  <c r="P152" i="19"/>
  <c r="Q152" i="19"/>
  <c r="J153" i="19"/>
  <c r="K153" i="19"/>
  <c r="L153" i="19"/>
  <c r="M153" i="19"/>
  <c r="N153" i="19"/>
  <c r="O153" i="19"/>
  <c r="P153" i="19"/>
  <c r="Q153" i="19"/>
  <c r="J154" i="19"/>
  <c r="K154" i="19"/>
  <c r="L154" i="19"/>
  <c r="M154" i="19"/>
  <c r="N154" i="19"/>
  <c r="O154" i="19"/>
  <c r="P154" i="19"/>
  <c r="Q154" i="19"/>
  <c r="E155" i="19"/>
  <c r="E156" i="19" s="1"/>
  <c r="F155" i="19"/>
  <c r="F156" i="19" s="1"/>
  <c r="G155" i="19"/>
  <c r="G156" i="19" s="1"/>
  <c r="J155" i="19"/>
  <c r="K155" i="19"/>
  <c r="K156" i="19" l="1"/>
  <c r="R15" i="19"/>
  <c r="R75" i="19"/>
  <c r="R80" i="19"/>
  <c r="R84" i="19"/>
  <c r="R124" i="19"/>
  <c r="R126" i="19"/>
  <c r="R128" i="19"/>
  <c r="R134" i="19"/>
  <c r="R92" i="19"/>
  <c r="R93" i="19"/>
  <c r="R94" i="19"/>
  <c r="R76" i="19"/>
  <c r="R88" i="19"/>
  <c r="R47" i="19"/>
  <c r="R48" i="19"/>
  <c r="R73" i="19"/>
  <c r="R72" i="19"/>
  <c r="R57" i="19"/>
  <c r="R120" i="19"/>
  <c r="R122" i="19"/>
  <c r="R64" i="19"/>
  <c r="R60" i="19"/>
  <c r="R38" i="19"/>
  <c r="R42" i="19"/>
  <c r="R44" i="19"/>
  <c r="R46" i="19"/>
  <c r="R56" i="19"/>
  <c r="R68" i="19"/>
  <c r="R102" i="19"/>
  <c r="R103" i="19"/>
  <c r="R107" i="19"/>
  <c r="R109" i="19"/>
  <c r="R110" i="19"/>
  <c r="R111" i="19"/>
  <c r="R114" i="19"/>
  <c r="R115" i="19"/>
  <c r="R117" i="19"/>
  <c r="R118" i="19"/>
  <c r="R119" i="19"/>
  <c r="R100" i="19"/>
  <c r="R140" i="19"/>
  <c r="R139" i="19"/>
  <c r="R121" i="19"/>
  <c r="R125" i="19"/>
  <c r="R129" i="19"/>
  <c r="R133" i="19"/>
  <c r="R137" i="19"/>
  <c r="R91" i="19"/>
  <c r="R95" i="19"/>
  <c r="R97" i="19"/>
  <c r="R98" i="19"/>
  <c r="R99" i="19"/>
  <c r="R104" i="19"/>
  <c r="R108" i="19"/>
  <c r="R112" i="19"/>
  <c r="R116" i="19"/>
  <c r="R63" i="19"/>
  <c r="R74" i="19"/>
  <c r="R69" i="19"/>
  <c r="R59" i="19"/>
  <c r="R79" i="19"/>
  <c r="R81" i="19"/>
  <c r="R85" i="19"/>
  <c r="R87" i="19"/>
  <c r="R89" i="19"/>
  <c r="R113" i="19"/>
  <c r="R40" i="19"/>
  <c r="R71" i="19"/>
  <c r="R70" i="19"/>
  <c r="R65" i="19"/>
  <c r="R55" i="19"/>
  <c r="R54" i="19"/>
  <c r="R51" i="19"/>
  <c r="R50" i="19"/>
  <c r="R82" i="19"/>
  <c r="R86" i="19"/>
  <c r="R90" i="19"/>
  <c r="R123" i="19"/>
  <c r="R127" i="19"/>
  <c r="R62" i="19"/>
  <c r="R37" i="19"/>
  <c r="R41" i="19"/>
  <c r="R45" i="19"/>
  <c r="R58" i="19"/>
  <c r="R53" i="19"/>
  <c r="R83" i="19"/>
  <c r="O155" i="19"/>
  <c r="O156" i="19" s="1"/>
  <c r="R152" i="19"/>
  <c r="R39" i="19"/>
  <c r="R43" i="19"/>
  <c r="R49" i="19"/>
  <c r="R67" i="19"/>
  <c r="R66" i="19"/>
  <c r="R61" i="19"/>
  <c r="R52" i="19"/>
  <c r="R96" i="19"/>
  <c r="R141" i="19"/>
  <c r="R136" i="19"/>
  <c r="R135" i="19"/>
  <c r="R138" i="19"/>
  <c r="R132" i="19"/>
  <c r="R131" i="19"/>
  <c r="R130" i="19"/>
  <c r="R106" i="19"/>
  <c r="R105" i="19"/>
  <c r="R101" i="19"/>
  <c r="R78" i="19"/>
  <c r="R77" i="19"/>
  <c r="Q155" i="19"/>
  <c r="Q156" i="19" s="1"/>
  <c r="M155" i="19"/>
  <c r="M156" i="19" s="1"/>
  <c r="N155" i="19"/>
  <c r="N156" i="19" s="1"/>
  <c r="P155" i="19"/>
  <c r="P156" i="19" s="1"/>
  <c r="L155" i="19"/>
  <c r="L156" i="19" s="1"/>
  <c r="R149" i="19"/>
  <c r="R150" i="19"/>
  <c r="R153" i="19"/>
  <c r="R154" i="19"/>
  <c r="R151" i="19"/>
  <c r="E21" i="9"/>
  <c r="R155" i="19" l="1"/>
  <c r="R156" i="19" s="1"/>
  <c r="J14" i="9" l="1"/>
  <c r="K14" i="9"/>
  <c r="L14" i="9"/>
  <c r="M14" i="9"/>
  <c r="N14" i="9"/>
  <c r="O14" i="9"/>
  <c r="P14" i="9"/>
  <c r="Q14" i="9"/>
  <c r="R14" i="9" l="1"/>
  <c r="J11" i="9" l="1"/>
  <c r="K11" i="9"/>
  <c r="L11" i="9"/>
  <c r="M11" i="9"/>
  <c r="N11" i="9"/>
  <c r="O11" i="9"/>
  <c r="P11" i="9"/>
  <c r="Q11" i="9"/>
  <c r="K323" i="14"/>
  <c r="F122" i="14"/>
  <c r="K122" i="14" s="1"/>
  <c r="K31" i="19"/>
  <c r="L31" i="19"/>
  <c r="M31" i="19"/>
  <c r="N31" i="19"/>
  <c r="O31" i="19"/>
  <c r="P31" i="19"/>
  <c r="Q31" i="19"/>
  <c r="K32" i="19"/>
  <c r="L32" i="19"/>
  <c r="M32" i="19"/>
  <c r="N32" i="19"/>
  <c r="O32" i="19"/>
  <c r="P32" i="19"/>
  <c r="Q32" i="19"/>
  <c r="K33" i="19"/>
  <c r="L33" i="19"/>
  <c r="M33" i="19"/>
  <c r="N33" i="19"/>
  <c r="O33" i="19"/>
  <c r="P33" i="19"/>
  <c r="Q33" i="19"/>
  <c r="K34" i="19"/>
  <c r="L34" i="19"/>
  <c r="M34" i="19"/>
  <c r="N34" i="19"/>
  <c r="O34" i="19"/>
  <c r="P34" i="19"/>
  <c r="Q34" i="19"/>
  <c r="K35" i="19"/>
  <c r="L35" i="19"/>
  <c r="M35" i="19"/>
  <c r="N35" i="19"/>
  <c r="O35" i="19"/>
  <c r="P35" i="19"/>
  <c r="Q35" i="19"/>
  <c r="K36" i="19"/>
  <c r="L36" i="19"/>
  <c r="M36" i="19"/>
  <c r="N36" i="19"/>
  <c r="O36" i="19"/>
  <c r="P36" i="19"/>
  <c r="Q36" i="19"/>
  <c r="K30" i="19"/>
  <c r="L30" i="19"/>
  <c r="M30" i="19"/>
  <c r="N30" i="19"/>
  <c r="O30" i="19"/>
  <c r="P30" i="19"/>
  <c r="Q30" i="19"/>
  <c r="R11" i="9" l="1"/>
  <c r="R36" i="19"/>
  <c r="R32" i="19"/>
  <c r="R33" i="19"/>
  <c r="R34" i="19"/>
  <c r="R35" i="19"/>
  <c r="R31" i="19"/>
  <c r="R30" i="19"/>
  <c r="I45" i="23" l="1"/>
  <c r="I7" i="23" s="1"/>
  <c r="H45" i="23"/>
  <c r="H7" i="23" s="1"/>
  <c r="G45" i="23"/>
  <c r="G7" i="23" s="1"/>
  <c r="F45" i="23"/>
  <c r="F7" i="23" s="1"/>
  <c r="E45" i="23"/>
  <c r="D7" i="23" s="1"/>
  <c r="D45" i="23"/>
  <c r="C7" i="23" s="1"/>
  <c r="C45" i="23"/>
  <c r="E7" i="23" s="1"/>
  <c r="J43" i="23"/>
  <c r="J42" i="23"/>
  <c r="I38" i="23"/>
  <c r="H38" i="23"/>
  <c r="G38" i="23"/>
  <c r="F38" i="23"/>
  <c r="E38" i="23"/>
  <c r="D38" i="23"/>
  <c r="C38" i="23"/>
  <c r="J36" i="23"/>
  <c r="I35" i="23"/>
  <c r="H35" i="23"/>
  <c r="G35" i="23"/>
  <c r="F35" i="23"/>
  <c r="E35" i="23"/>
  <c r="D35" i="23"/>
  <c r="C35" i="23"/>
  <c r="I34" i="23"/>
  <c r="H34" i="23"/>
  <c r="G34" i="23"/>
  <c r="F34" i="23"/>
  <c r="E34" i="23"/>
  <c r="D34" i="23"/>
  <c r="C34" i="23"/>
  <c r="I33" i="23"/>
  <c r="H33" i="23"/>
  <c r="G33" i="23"/>
  <c r="F33" i="23"/>
  <c r="E33" i="23"/>
  <c r="D33" i="23"/>
  <c r="C33" i="23"/>
  <c r="J16" i="23"/>
  <c r="J11" i="23"/>
  <c r="I10" i="23"/>
  <c r="H10" i="23"/>
  <c r="G10" i="23"/>
  <c r="F10" i="23"/>
  <c r="E10" i="23"/>
  <c r="D10" i="23"/>
  <c r="C10" i="23"/>
  <c r="I5" i="23"/>
  <c r="H5" i="23"/>
  <c r="G5" i="23"/>
  <c r="F5" i="23"/>
  <c r="E5" i="23"/>
  <c r="D5" i="23"/>
  <c r="C5" i="23"/>
  <c r="N16" i="23" l="1"/>
  <c r="N17" i="23" s="1"/>
  <c r="D17" i="23" s="1"/>
  <c r="R16" i="23"/>
  <c r="R17" i="23" s="1"/>
  <c r="H17" i="23" s="1"/>
  <c r="O16" i="23"/>
  <c r="O17" i="23" s="1"/>
  <c r="E17" i="23" s="1"/>
  <c r="S16" i="23"/>
  <c r="S17" i="23" s="1"/>
  <c r="I17" i="23" s="1"/>
  <c r="P16" i="23"/>
  <c r="P17" i="23" s="1"/>
  <c r="F17" i="23" s="1"/>
  <c r="M16" i="23"/>
  <c r="M17" i="23" s="1"/>
  <c r="C17" i="23" s="1"/>
  <c r="Q16" i="23"/>
  <c r="Q17" i="23" s="1"/>
  <c r="G17" i="23" s="1"/>
  <c r="J34" i="23"/>
  <c r="J7" i="23"/>
  <c r="J45" i="23"/>
  <c r="J35" i="23"/>
  <c r="F40" i="23"/>
  <c r="F6" i="23" s="1"/>
  <c r="F23" i="23" s="1"/>
  <c r="F27" i="21" s="1"/>
  <c r="E40" i="23"/>
  <c r="D6" i="23" s="1"/>
  <c r="D23" i="23" s="1"/>
  <c r="D27" i="21" s="1"/>
  <c r="I40" i="23"/>
  <c r="I6" i="23" s="1"/>
  <c r="I23" i="23" s="1"/>
  <c r="I27" i="21" s="1"/>
  <c r="D40" i="23"/>
  <c r="C6" i="23" s="1"/>
  <c r="C8" i="23" s="1"/>
  <c r="H40" i="23"/>
  <c r="H6" i="23" s="1"/>
  <c r="H23" i="23" s="1"/>
  <c r="H27" i="21" s="1"/>
  <c r="C40" i="23"/>
  <c r="E6" i="23" s="1"/>
  <c r="E23" i="23" s="1"/>
  <c r="E27" i="21" s="1"/>
  <c r="G40" i="23"/>
  <c r="G6" i="23" s="1"/>
  <c r="G8" i="23" s="1"/>
  <c r="G24" i="21" s="1"/>
  <c r="J5" i="23"/>
  <c r="J10" i="23"/>
  <c r="J33" i="23"/>
  <c r="J38" i="23"/>
  <c r="M38" i="23" s="1"/>
  <c r="T16" i="23" l="1"/>
  <c r="J17" i="23"/>
  <c r="C13" i="23"/>
  <c r="C14" i="23" s="1"/>
  <c r="C21" i="23" s="1"/>
  <c r="C24" i="21"/>
  <c r="G13" i="23"/>
  <c r="G14" i="23" s="1"/>
  <c r="G21" i="23" s="1"/>
  <c r="F8" i="23"/>
  <c r="F24" i="21" s="1"/>
  <c r="D8" i="23"/>
  <c r="D24" i="21" s="1"/>
  <c r="J40" i="23"/>
  <c r="O38" i="23"/>
  <c r="G23" i="23"/>
  <c r="G27" i="21" s="1"/>
  <c r="I8" i="23"/>
  <c r="C23" i="23"/>
  <c r="C27" i="21" s="1"/>
  <c r="E8" i="23"/>
  <c r="H8" i="23"/>
  <c r="H24" i="21" s="1"/>
  <c r="J6" i="23"/>
  <c r="J8" i="23" s="1"/>
  <c r="N38" i="23"/>
  <c r="J12" i="23"/>
  <c r="Q38" i="23"/>
  <c r="L38" i="23"/>
  <c r="R38" i="23"/>
  <c r="P38" i="23"/>
  <c r="J27" i="21" l="1"/>
  <c r="C22" i="23"/>
  <c r="C26" i="21" s="1"/>
  <c r="C25" i="21"/>
  <c r="G22" i="23"/>
  <c r="G25" i="21"/>
  <c r="E13" i="23"/>
  <c r="E14" i="23" s="1"/>
  <c r="E21" i="23" s="1"/>
  <c r="E24" i="21"/>
  <c r="I13" i="23"/>
  <c r="I14" i="23" s="1"/>
  <c r="I21" i="23" s="1"/>
  <c r="I24" i="21"/>
  <c r="H13" i="23"/>
  <c r="H14" i="23" s="1"/>
  <c r="H21" i="23" s="1"/>
  <c r="F13" i="23"/>
  <c r="F14" i="23" s="1"/>
  <c r="F21" i="23" s="1"/>
  <c r="D13" i="23"/>
  <c r="D14" i="23" s="1"/>
  <c r="D21" i="23" s="1"/>
  <c r="J23" i="23"/>
  <c r="G24" i="23" l="1"/>
  <c r="G28" i="23" s="1"/>
  <c r="G26" i="21"/>
  <c r="I22" i="23"/>
  <c r="I25" i="21"/>
  <c r="D22" i="23"/>
  <c r="D25" i="21"/>
  <c r="F22" i="23"/>
  <c r="F25" i="21"/>
  <c r="H22" i="23"/>
  <c r="H25" i="21"/>
  <c r="E25" i="21"/>
  <c r="J14" i="23"/>
  <c r="J13" i="23"/>
  <c r="C24" i="23"/>
  <c r="C28" i="23" s="1"/>
  <c r="H24" i="23" l="1"/>
  <c r="H28" i="23" s="1"/>
  <c r="H26" i="21"/>
  <c r="D24" i="23"/>
  <c r="D28" i="23" s="1"/>
  <c r="D26" i="21"/>
  <c r="F24" i="23"/>
  <c r="F28" i="23" s="1"/>
  <c r="F26" i="21"/>
  <c r="I24" i="23"/>
  <c r="I28" i="23" s="1"/>
  <c r="I26" i="21"/>
  <c r="E22" i="23"/>
  <c r="E26" i="21" s="1"/>
  <c r="J21" i="23"/>
  <c r="D19" i="21"/>
  <c r="E19" i="21"/>
  <c r="F19" i="21"/>
  <c r="G19" i="21"/>
  <c r="H19" i="21"/>
  <c r="I19" i="21"/>
  <c r="C19" i="21"/>
  <c r="J26" i="21" l="1"/>
  <c r="E24" i="23"/>
  <c r="E28" i="23" s="1"/>
  <c r="J28" i="23" s="1"/>
  <c r="J22" i="23"/>
  <c r="J24" i="23" s="1"/>
  <c r="R25" i="22"/>
  <c r="P27" i="22" s="1"/>
  <c r="P28" i="22" s="1"/>
  <c r="G17" i="22"/>
  <c r="F17" i="22"/>
  <c r="E17" i="22"/>
  <c r="R16" i="22"/>
  <c r="R15" i="22"/>
  <c r="O22" i="22" s="1"/>
  <c r="R14" i="22"/>
  <c r="R13" i="22"/>
  <c r="R12" i="22"/>
  <c r="Q17" i="22"/>
  <c r="P17" i="22"/>
  <c r="O17" i="22"/>
  <c r="M17" i="22"/>
  <c r="K17" i="22"/>
  <c r="J10" i="22"/>
  <c r="A2" i="22"/>
  <c r="R10" i="22" l="1"/>
  <c r="M27" i="22"/>
  <c r="M28" i="22" s="1"/>
  <c r="Q27" i="22"/>
  <c r="Q28" i="22" s="1"/>
  <c r="L22" i="22"/>
  <c r="L17" i="22"/>
  <c r="R11" i="22"/>
  <c r="N17" i="22"/>
  <c r="K27" i="22"/>
  <c r="K28" i="22" s="1"/>
  <c r="O27" i="22"/>
  <c r="O28" i="22" s="1"/>
  <c r="N27" i="22"/>
  <c r="N28" i="22" s="1"/>
  <c r="L27" i="22"/>
  <c r="L28" i="22" s="1"/>
  <c r="R17" i="22" l="1"/>
  <c r="J25" i="21" l="1"/>
  <c r="J19" i="21"/>
  <c r="J24" i="21" l="1"/>
  <c r="C22" i="20" l="1"/>
  <c r="A2" i="18" l="1"/>
  <c r="A2" i="9"/>
  <c r="A2" i="11" s="1"/>
  <c r="A2" i="12"/>
  <c r="I9" i="21"/>
  <c r="H9" i="21"/>
  <c r="G9" i="21"/>
  <c r="F9" i="21"/>
  <c r="E9" i="21"/>
  <c r="D9" i="21"/>
  <c r="C9" i="21"/>
  <c r="I8" i="21"/>
  <c r="H8" i="21"/>
  <c r="G8" i="21"/>
  <c r="F8" i="21"/>
  <c r="E8" i="21"/>
  <c r="D8" i="21"/>
  <c r="C8" i="21"/>
  <c r="I7" i="21"/>
  <c r="H7" i="21"/>
  <c r="G7" i="21"/>
  <c r="F7" i="21"/>
  <c r="E7" i="21"/>
  <c r="D7" i="21"/>
  <c r="C7" i="21"/>
  <c r="D22" i="20"/>
  <c r="E22" i="20"/>
  <c r="C16" i="20"/>
  <c r="F28" i="11"/>
  <c r="D50" i="20"/>
  <c r="D38" i="20"/>
  <c r="E38" i="20"/>
  <c r="E50" i="20"/>
  <c r="L38" i="11"/>
  <c r="R38" i="11" s="1"/>
  <c r="M38" i="11"/>
  <c r="M41" i="11" s="1"/>
  <c r="N38" i="11"/>
  <c r="O38" i="11"/>
  <c r="P38" i="11"/>
  <c r="Q38" i="11"/>
  <c r="Q41" i="11" s="1"/>
  <c r="K38" i="11"/>
  <c r="P49" i="20"/>
  <c r="H45" i="20"/>
  <c r="I45" i="20"/>
  <c r="J45" i="20"/>
  <c r="K45" i="20"/>
  <c r="L45" i="20"/>
  <c r="M45" i="20"/>
  <c r="N45" i="20"/>
  <c r="O45" i="20"/>
  <c r="H46" i="20"/>
  <c r="I46" i="20"/>
  <c r="J46" i="20"/>
  <c r="K46" i="20"/>
  <c r="L46" i="20"/>
  <c r="M46" i="20"/>
  <c r="N46" i="20"/>
  <c r="O46" i="20"/>
  <c r="H47" i="20"/>
  <c r="I47" i="20"/>
  <c r="J47" i="20"/>
  <c r="K47" i="20"/>
  <c r="L47" i="20"/>
  <c r="M47" i="20"/>
  <c r="N47" i="20"/>
  <c r="O47" i="20"/>
  <c r="H48" i="20"/>
  <c r="I48" i="20"/>
  <c r="J48" i="20"/>
  <c r="K48" i="20"/>
  <c r="L48" i="20"/>
  <c r="M48" i="20"/>
  <c r="N48" i="20"/>
  <c r="O48" i="20"/>
  <c r="C32" i="20"/>
  <c r="C38" i="20"/>
  <c r="C50" i="20"/>
  <c r="H19" i="20"/>
  <c r="I17" i="20"/>
  <c r="J17" i="20"/>
  <c r="K17" i="20"/>
  <c r="L17" i="20"/>
  <c r="M17" i="20"/>
  <c r="N17" i="20"/>
  <c r="O17" i="20"/>
  <c r="I18" i="20"/>
  <c r="J18" i="20"/>
  <c r="K18" i="20"/>
  <c r="L18" i="20"/>
  <c r="M18" i="20"/>
  <c r="N18" i="20"/>
  <c r="O18" i="20"/>
  <c r="H18" i="20"/>
  <c r="H13" i="20"/>
  <c r="I13" i="20"/>
  <c r="J13" i="20"/>
  <c r="K13" i="20"/>
  <c r="L13" i="20"/>
  <c r="M13" i="20"/>
  <c r="N13" i="20"/>
  <c r="O13" i="20"/>
  <c r="C19" i="20"/>
  <c r="L19" i="20"/>
  <c r="C12" i="20"/>
  <c r="K19" i="20"/>
  <c r="J19" i="20"/>
  <c r="O19" i="20"/>
  <c r="N19" i="20"/>
  <c r="M19" i="20"/>
  <c r="I19" i="20"/>
  <c r="O44" i="20"/>
  <c r="N44" i="20"/>
  <c r="M44" i="20"/>
  <c r="L44" i="20"/>
  <c r="K44" i="20"/>
  <c r="J44" i="20"/>
  <c r="I44" i="20"/>
  <c r="H44" i="20"/>
  <c r="O21" i="20"/>
  <c r="N21" i="20"/>
  <c r="M21" i="20"/>
  <c r="L21" i="20"/>
  <c r="K21" i="20"/>
  <c r="J21" i="20"/>
  <c r="I21" i="20"/>
  <c r="H21" i="20"/>
  <c r="O20" i="20"/>
  <c r="N20" i="20"/>
  <c r="M20" i="20"/>
  <c r="L20" i="20"/>
  <c r="K20" i="20"/>
  <c r="J20" i="20"/>
  <c r="I20" i="20"/>
  <c r="H20" i="20"/>
  <c r="O43" i="20"/>
  <c r="N43" i="20"/>
  <c r="M43" i="20"/>
  <c r="L43" i="20"/>
  <c r="K43" i="20"/>
  <c r="J43" i="20"/>
  <c r="I43" i="20"/>
  <c r="H43" i="20"/>
  <c r="O42" i="20"/>
  <c r="N42" i="20"/>
  <c r="M42" i="20"/>
  <c r="L42" i="20"/>
  <c r="K42" i="20"/>
  <c r="J42" i="20"/>
  <c r="I42" i="20"/>
  <c r="H42" i="20"/>
  <c r="O41" i="20"/>
  <c r="N41" i="20"/>
  <c r="M41" i="20"/>
  <c r="L41" i="20"/>
  <c r="K41" i="20"/>
  <c r="J41" i="20"/>
  <c r="I41" i="20"/>
  <c r="H41" i="20"/>
  <c r="O40" i="20"/>
  <c r="N40" i="20"/>
  <c r="M40" i="20"/>
  <c r="L40" i="20"/>
  <c r="K40" i="20"/>
  <c r="J40" i="20"/>
  <c r="I40" i="20"/>
  <c r="H40" i="20"/>
  <c r="O39" i="20"/>
  <c r="N39" i="20"/>
  <c r="M39" i="20"/>
  <c r="L39" i="20"/>
  <c r="K39" i="20"/>
  <c r="J39" i="20"/>
  <c r="I39" i="20"/>
  <c r="H39" i="20"/>
  <c r="O38" i="20"/>
  <c r="N38" i="20"/>
  <c r="M38" i="20"/>
  <c r="L38" i="20"/>
  <c r="K38" i="20"/>
  <c r="J38" i="20"/>
  <c r="I38" i="20"/>
  <c r="H38" i="20"/>
  <c r="O37" i="20"/>
  <c r="N37" i="20"/>
  <c r="M37" i="20"/>
  <c r="L37" i="20"/>
  <c r="K37" i="20"/>
  <c r="J37" i="20"/>
  <c r="I37" i="20"/>
  <c r="H37" i="20"/>
  <c r="E32" i="20"/>
  <c r="D32" i="20"/>
  <c r="O31" i="20"/>
  <c r="N31" i="20"/>
  <c r="M31" i="20"/>
  <c r="L31" i="20"/>
  <c r="K31" i="20"/>
  <c r="J31" i="20"/>
  <c r="I31" i="20"/>
  <c r="H31" i="20"/>
  <c r="O30" i="20"/>
  <c r="N30" i="20"/>
  <c r="M30" i="20"/>
  <c r="L30" i="20"/>
  <c r="K30" i="20"/>
  <c r="J30" i="20"/>
  <c r="I30" i="20"/>
  <c r="H30" i="20"/>
  <c r="O29" i="20"/>
  <c r="N29" i="20"/>
  <c r="M29" i="20"/>
  <c r="L29" i="20"/>
  <c r="K29" i="20"/>
  <c r="J29" i="20"/>
  <c r="I29" i="20"/>
  <c r="H29" i="20"/>
  <c r="O28" i="20"/>
  <c r="N28" i="20"/>
  <c r="M28" i="20"/>
  <c r="L28" i="20"/>
  <c r="K28" i="20"/>
  <c r="J28" i="20"/>
  <c r="I28" i="20"/>
  <c r="H28" i="20"/>
  <c r="O27" i="20"/>
  <c r="O32" i="20" s="1"/>
  <c r="N27" i="20"/>
  <c r="N32" i="20" s="1"/>
  <c r="H23" i="1" s="1"/>
  <c r="M27" i="20"/>
  <c r="L27" i="20"/>
  <c r="K27" i="20"/>
  <c r="J27" i="20"/>
  <c r="I27" i="20"/>
  <c r="I32" i="20" s="1"/>
  <c r="C35" i="21" s="1"/>
  <c r="H27" i="20"/>
  <c r="H17" i="20"/>
  <c r="O16" i="20"/>
  <c r="N16" i="20"/>
  <c r="M16" i="20"/>
  <c r="L16" i="20"/>
  <c r="K16" i="20"/>
  <c r="J16" i="20"/>
  <c r="I16" i="20"/>
  <c r="H16" i="20"/>
  <c r="O15" i="20"/>
  <c r="N15" i="20"/>
  <c r="M15" i="20"/>
  <c r="L15" i="20"/>
  <c r="K15" i="20"/>
  <c r="J15" i="20"/>
  <c r="I15" i="20"/>
  <c r="H15" i="20"/>
  <c r="O14" i="20"/>
  <c r="N14" i="20"/>
  <c r="M14" i="20"/>
  <c r="L14" i="20"/>
  <c r="K14" i="20"/>
  <c r="J14" i="20"/>
  <c r="I14" i="20"/>
  <c r="H14" i="20"/>
  <c r="O12" i="20"/>
  <c r="N12" i="20"/>
  <c r="M12" i="20"/>
  <c r="L12" i="20"/>
  <c r="K12" i="20"/>
  <c r="J12" i="20"/>
  <c r="I12" i="20"/>
  <c r="H12" i="20"/>
  <c r="O11" i="20"/>
  <c r="N11" i="20"/>
  <c r="M11" i="20"/>
  <c r="L11" i="20"/>
  <c r="K11" i="20"/>
  <c r="J11" i="20"/>
  <c r="I11" i="20"/>
  <c r="H11" i="20"/>
  <c r="H50" i="20"/>
  <c r="G41" i="11"/>
  <c r="F41" i="11"/>
  <c r="E41" i="11"/>
  <c r="P41" i="11"/>
  <c r="O41" i="11"/>
  <c r="N41" i="11"/>
  <c r="L41" i="11"/>
  <c r="G32" i="11"/>
  <c r="F32" i="11"/>
  <c r="E32" i="11"/>
  <c r="Q29" i="11"/>
  <c r="P29" i="11"/>
  <c r="O29" i="11"/>
  <c r="N29" i="11"/>
  <c r="M29" i="11"/>
  <c r="L29" i="11"/>
  <c r="K29" i="11"/>
  <c r="Q28" i="11"/>
  <c r="P28" i="11"/>
  <c r="O28" i="11"/>
  <c r="N28" i="11"/>
  <c r="M28" i="11"/>
  <c r="L28" i="11"/>
  <c r="K28" i="11"/>
  <c r="J12" i="11"/>
  <c r="K12" i="11"/>
  <c r="L12" i="11"/>
  <c r="M12" i="11"/>
  <c r="N12" i="11"/>
  <c r="O12" i="11"/>
  <c r="P12" i="11"/>
  <c r="Q12" i="11"/>
  <c r="J13" i="11"/>
  <c r="K13" i="11"/>
  <c r="L13" i="11"/>
  <c r="M13" i="11"/>
  <c r="N13" i="11"/>
  <c r="O13" i="11"/>
  <c r="P13" i="11"/>
  <c r="Q13" i="11"/>
  <c r="J14" i="11"/>
  <c r="K14" i="11"/>
  <c r="L14" i="11"/>
  <c r="M14" i="11"/>
  <c r="N14" i="11"/>
  <c r="O14" i="11"/>
  <c r="P14" i="11"/>
  <c r="Q14" i="11"/>
  <c r="J15" i="11"/>
  <c r="K15" i="11"/>
  <c r="L15" i="11"/>
  <c r="M15" i="11"/>
  <c r="N15" i="11"/>
  <c r="O15" i="11"/>
  <c r="P15" i="11"/>
  <c r="Q15" i="11"/>
  <c r="J16" i="11"/>
  <c r="K16" i="11"/>
  <c r="L16" i="11"/>
  <c r="M16" i="11"/>
  <c r="N16" i="11"/>
  <c r="O16" i="11"/>
  <c r="P16" i="11"/>
  <c r="Q16" i="11"/>
  <c r="J17" i="11"/>
  <c r="K17" i="11"/>
  <c r="L17" i="11"/>
  <c r="M17" i="11"/>
  <c r="N17" i="11"/>
  <c r="O17" i="11"/>
  <c r="P17" i="11"/>
  <c r="Q17" i="11"/>
  <c r="J18" i="11"/>
  <c r="K18" i="11"/>
  <c r="L18" i="11"/>
  <c r="M18" i="11"/>
  <c r="N18" i="11"/>
  <c r="O18" i="11"/>
  <c r="P18" i="11"/>
  <c r="Q18" i="11"/>
  <c r="J19" i="11"/>
  <c r="K19" i="11"/>
  <c r="L19" i="11"/>
  <c r="M19" i="11"/>
  <c r="N19" i="11"/>
  <c r="O19" i="11"/>
  <c r="P19" i="11"/>
  <c r="Q19" i="11"/>
  <c r="J20" i="11"/>
  <c r="K20" i="11"/>
  <c r="L20" i="11"/>
  <c r="M20" i="11"/>
  <c r="N20" i="11"/>
  <c r="O20" i="11"/>
  <c r="P20" i="11"/>
  <c r="Q20" i="11"/>
  <c r="J21" i="11"/>
  <c r="K21" i="11"/>
  <c r="L21" i="11"/>
  <c r="M21" i="11"/>
  <c r="N21" i="11"/>
  <c r="O21" i="11"/>
  <c r="P21" i="11"/>
  <c r="Q21" i="11"/>
  <c r="J22" i="11"/>
  <c r="K22" i="11"/>
  <c r="L22" i="11"/>
  <c r="M22" i="11"/>
  <c r="N22" i="11"/>
  <c r="O22" i="11"/>
  <c r="P22" i="11"/>
  <c r="Q22" i="11"/>
  <c r="K41" i="11"/>
  <c r="D10" i="1"/>
  <c r="E10" i="1"/>
  <c r="F10" i="1"/>
  <c r="G10" i="1"/>
  <c r="H10" i="1"/>
  <c r="I10" i="1"/>
  <c r="C10" i="1"/>
  <c r="D9" i="1"/>
  <c r="E9" i="1"/>
  <c r="F9" i="1"/>
  <c r="G9" i="1"/>
  <c r="H9" i="1"/>
  <c r="I9" i="1"/>
  <c r="C9" i="1"/>
  <c r="D8" i="1"/>
  <c r="E8" i="1"/>
  <c r="F8" i="1"/>
  <c r="G8" i="1"/>
  <c r="H8" i="1"/>
  <c r="I8" i="1"/>
  <c r="C8" i="1"/>
  <c r="D7" i="1"/>
  <c r="E7" i="1"/>
  <c r="F7" i="1"/>
  <c r="G7" i="1"/>
  <c r="H7" i="1"/>
  <c r="I7" i="1"/>
  <c r="C7" i="1"/>
  <c r="O23" i="19"/>
  <c r="K28" i="19"/>
  <c r="L28" i="19"/>
  <c r="M28" i="19"/>
  <c r="N28" i="19"/>
  <c r="O28" i="19"/>
  <c r="P28" i="19"/>
  <c r="Q28" i="19"/>
  <c r="K27" i="19"/>
  <c r="L27" i="19"/>
  <c r="M27" i="19"/>
  <c r="N27" i="19"/>
  <c r="O27" i="19"/>
  <c r="P27" i="19"/>
  <c r="Q27" i="19"/>
  <c r="K24" i="19"/>
  <c r="L24" i="19"/>
  <c r="M24" i="19"/>
  <c r="N24" i="19"/>
  <c r="O24" i="19"/>
  <c r="P24" i="19"/>
  <c r="Q24" i="19"/>
  <c r="K21" i="19"/>
  <c r="L21" i="19"/>
  <c r="M21" i="19"/>
  <c r="N21" i="19"/>
  <c r="O21" i="19"/>
  <c r="P21" i="19"/>
  <c r="Q21" i="19"/>
  <c r="K23" i="19"/>
  <c r="L23" i="19"/>
  <c r="M23" i="19"/>
  <c r="N23" i="19"/>
  <c r="P23" i="19"/>
  <c r="Q23" i="19"/>
  <c r="K26" i="19"/>
  <c r="L26" i="19"/>
  <c r="M26" i="19"/>
  <c r="N26" i="19"/>
  <c r="O26" i="19"/>
  <c r="P26" i="19"/>
  <c r="Q26" i="19"/>
  <c r="K25" i="19"/>
  <c r="L25" i="19"/>
  <c r="M25" i="19"/>
  <c r="N25" i="19"/>
  <c r="O25" i="19"/>
  <c r="P25" i="19"/>
  <c r="Q25" i="19"/>
  <c r="K22" i="19"/>
  <c r="L22" i="19"/>
  <c r="M22" i="19"/>
  <c r="N22" i="19"/>
  <c r="O22" i="19"/>
  <c r="P22" i="19"/>
  <c r="Q22" i="19"/>
  <c r="L10" i="9"/>
  <c r="K10" i="9"/>
  <c r="L29" i="14"/>
  <c r="Q214" i="19"/>
  <c r="P214" i="19"/>
  <c r="O214" i="19"/>
  <c r="N214" i="19"/>
  <c r="M214" i="19"/>
  <c r="L214" i="19"/>
  <c r="K214" i="19"/>
  <c r="G214" i="19"/>
  <c r="F214" i="19"/>
  <c r="E214" i="19"/>
  <c r="R210" i="19"/>
  <c r="R214" i="19" s="1"/>
  <c r="G208" i="19"/>
  <c r="F208" i="19"/>
  <c r="E208" i="19"/>
  <c r="G204" i="19"/>
  <c r="F204" i="19"/>
  <c r="E204" i="19"/>
  <c r="Q202" i="19"/>
  <c r="P202" i="19"/>
  <c r="O202" i="19"/>
  <c r="N202" i="19"/>
  <c r="M202" i="19"/>
  <c r="L202" i="19"/>
  <c r="K202" i="19"/>
  <c r="J202" i="19"/>
  <c r="Q201" i="19"/>
  <c r="P201" i="19"/>
  <c r="O201" i="19"/>
  <c r="N201" i="19"/>
  <c r="M201" i="19"/>
  <c r="L201" i="19"/>
  <c r="K201" i="19"/>
  <c r="J201" i="19"/>
  <c r="Q200" i="19"/>
  <c r="P200" i="19"/>
  <c r="O200" i="19"/>
  <c r="N200" i="19"/>
  <c r="M200" i="19"/>
  <c r="L200" i="19"/>
  <c r="K200" i="19"/>
  <c r="J200" i="19"/>
  <c r="Q199" i="19"/>
  <c r="Q204" i="19" s="1"/>
  <c r="P199" i="19"/>
  <c r="P204" i="19" s="1"/>
  <c r="O199" i="19"/>
  <c r="N199" i="19"/>
  <c r="M199" i="19"/>
  <c r="L199" i="19"/>
  <c r="K199" i="19"/>
  <c r="J199" i="19"/>
  <c r="G193" i="19"/>
  <c r="F193" i="19"/>
  <c r="E193" i="19"/>
  <c r="Q192" i="19"/>
  <c r="P192" i="19"/>
  <c r="O192" i="19"/>
  <c r="N192" i="19"/>
  <c r="M192" i="19"/>
  <c r="L192" i="19"/>
  <c r="K192" i="19"/>
  <c r="J192" i="19"/>
  <c r="Q191" i="19"/>
  <c r="P191" i="19"/>
  <c r="O191" i="19"/>
  <c r="N191" i="19"/>
  <c r="M191" i="19"/>
  <c r="L191" i="19"/>
  <c r="K191" i="19"/>
  <c r="J191" i="19"/>
  <c r="Q190" i="19"/>
  <c r="P190" i="19"/>
  <c r="O190" i="19"/>
  <c r="N190" i="19"/>
  <c r="M190" i="19"/>
  <c r="L190" i="19"/>
  <c r="K190" i="19"/>
  <c r="J190" i="19"/>
  <c r="Q189" i="19"/>
  <c r="P189" i="19"/>
  <c r="O189" i="19"/>
  <c r="N189" i="19"/>
  <c r="M189" i="19"/>
  <c r="L189" i="19"/>
  <c r="K189" i="19"/>
  <c r="J189" i="19"/>
  <c r="Q188" i="19"/>
  <c r="P188" i="19"/>
  <c r="O188" i="19"/>
  <c r="N188" i="19"/>
  <c r="M188" i="19"/>
  <c r="L188" i="19"/>
  <c r="K188" i="19"/>
  <c r="J188" i="19"/>
  <c r="Q187" i="19"/>
  <c r="P187" i="19"/>
  <c r="O187" i="19"/>
  <c r="N187" i="19"/>
  <c r="M187" i="19"/>
  <c r="L187" i="19"/>
  <c r="K187" i="19"/>
  <c r="J187" i="19"/>
  <c r="Q186" i="19"/>
  <c r="P186" i="19"/>
  <c r="O186" i="19"/>
  <c r="N186" i="19"/>
  <c r="M186" i="19"/>
  <c r="L186" i="19"/>
  <c r="K186" i="19"/>
  <c r="J186" i="19"/>
  <c r="Q185" i="19"/>
  <c r="P185" i="19"/>
  <c r="O185" i="19"/>
  <c r="N185" i="19"/>
  <c r="M185" i="19"/>
  <c r="L185" i="19"/>
  <c r="K185" i="19"/>
  <c r="J185" i="19"/>
  <c r="Q184" i="19"/>
  <c r="P184" i="19"/>
  <c r="O184" i="19"/>
  <c r="N184" i="19"/>
  <c r="M184" i="19"/>
  <c r="L184" i="19"/>
  <c r="K184" i="19"/>
  <c r="J184" i="19"/>
  <c r="Q183" i="19"/>
  <c r="Q193" i="19" s="1"/>
  <c r="P183" i="19"/>
  <c r="P193" i="19" s="1"/>
  <c r="O183" i="19"/>
  <c r="O193" i="19" s="1"/>
  <c r="N183" i="19"/>
  <c r="M183" i="19"/>
  <c r="L183" i="19"/>
  <c r="L193" i="19" s="1"/>
  <c r="K183" i="19"/>
  <c r="J183" i="19"/>
  <c r="G177" i="19"/>
  <c r="F177" i="19"/>
  <c r="E177" i="19"/>
  <c r="R176" i="19"/>
  <c r="Q175" i="19"/>
  <c r="P175" i="19"/>
  <c r="O175" i="19"/>
  <c r="N175" i="19"/>
  <c r="M175" i="19"/>
  <c r="L175" i="19"/>
  <c r="K175" i="19"/>
  <c r="J175" i="19"/>
  <c r="Q174" i="19"/>
  <c r="P174" i="19"/>
  <c r="O174" i="19"/>
  <c r="N174" i="19"/>
  <c r="M174" i="19"/>
  <c r="L174" i="19"/>
  <c r="K174" i="19"/>
  <c r="J174" i="19"/>
  <c r="Q173" i="19"/>
  <c r="P173" i="19"/>
  <c r="O173" i="19"/>
  <c r="N173" i="19"/>
  <c r="M173" i="19"/>
  <c r="L173" i="19"/>
  <c r="K173" i="19"/>
  <c r="J173" i="19"/>
  <c r="Q172" i="19"/>
  <c r="P172" i="19"/>
  <c r="O172" i="19"/>
  <c r="N172" i="19"/>
  <c r="M172" i="19"/>
  <c r="L172" i="19"/>
  <c r="K172" i="19"/>
  <c r="J172" i="19"/>
  <c r="R171" i="19"/>
  <c r="Q170" i="19"/>
  <c r="P170" i="19"/>
  <c r="O170" i="19"/>
  <c r="N170" i="19"/>
  <c r="M170" i="19"/>
  <c r="L170" i="19"/>
  <c r="K170" i="19"/>
  <c r="J170" i="19"/>
  <c r="Q169" i="19"/>
  <c r="P169" i="19"/>
  <c r="O169" i="19"/>
  <c r="N169" i="19"/>
  <c r="M169" i="19"/>
  <c r="L169" i="19"/>
  <c r="K169" i="19"/>
  <c r="J169" i="19"/>
  <c r="J36" i="19"/>
  <c r="J35" i="19"/>
  <c r="J33" i="19"/>
  <c r="J34" i="19"/>
  <c r="J32" i="19"/>
  <c r="J31" i="19"/>
  <c r="J30" i="19"/>
  <c r="J22" i="19"/>
  <c r="J25" i="19"/>
  <c r="J26" i="19"/>
  <c r="J23" i="19"/>
  <c r="J21" i="19"/>
  <c r="J24" i="19"/>
  <c r="J27" i="19"/>
  <c r="J28" i="19"/>
  <c r="G18" i="18"/>
  <c r="F18" i="18"/>
  <c r="E18" i="18"/>
  <c r="E20" i="18"/>
  <c r="Q18" i="18"/>
  <c r="P18" i="18"/>
  <c r="O18" i="18"/>
  <c r="N18" i="18"/>
  <c r="M18" i="18"/>
  <c r="K18" i="18"/>
  <c r="K12" i="12"/>
  <c r="L12" i="12"/>
  <c r="M12" i="12"/>
  <c r="N12" i="12"/>
  <c r="O12" i="12"/>
  <c r="P12" i="12"/>
  <c r="Q12" i="12"/>
  <c r="J12" i="12"/>
  <c r="J18" i="9"/>
  <c r="K18" i="9"/>
  <c r="R18" i="9" s="1"/>
  <c r="L18" i="9"/>
  <c r="M18" i="9"/>
  <c r="N18" i="9"/>
  <c r="O18" i="9"/>
  <c r="P18" i="9"/>
  <c r="Q18" i="9"/>
  <c r="Q17" i="9"/>
  <c r="P17" i="9"/>
  <c r="O17" i="9"/>
  <c r="R29" i="9"/>
  <c r="L31" i="9"/>
  <c r="L32" i="9"/>
  <c r="N17" i="9"/>
  <c r="M17" i="9"/>
  <c r="L17" i="9"/>
  <c r="K17" i="9"/>
  <c r="J17" i="9"/>
  <c r="K16" i="9"/>
  <c r="O31" i="9"/>
  <c r="O32" i="9"/>
  <c r="N31" i="9"/>
  <c r="N32" i="9"/>
  <c r="K31" i="9"/>
  <c r="K32" i="9"/>
  <c r="L18" i="18"/>
  <c r="R18" i="18"/>
  <c r="Q31" i="9"/>
  <c r="Q32" i="9"/>
  <c r="M31" i="9"/>
  <c r="M32" i="9"/>
  <c r="P31" i="9"/>
  <c r="P32" i="9"/>
  <c r="R19" i="9"/>
  <c r="G25" i="12"/>
  <c r="F25" i="12"/>
  <c r="E25" i="12"/>
  <c r="O25" i="12"/>
  <c r="N25" i="12"/>
  <c r="L25" i="12"/>
  <c r="K25" i="12"/>
  <c r="M25" i="12"/>
  <c r="E15" i="12"/>
  <c r="Q25" i="12"/>
  <c r="P25" i="12"/>
  <c r="R21" i="12"/>
  <c r="R25" i="12"/>
  <c r="J15" i="9"/>
  <c r="F15" i="12"/>
  <c r="G15" i="12"/>
  <c r="Q15" i="9"/>
  <c r="P15" i="9"/>
  <c r="O15" i="9"/>
  <c r="N15" i="9"/>
  <c r="M15" i="9"/>
  <c r="L15" i="9"/>
  <c r="K15" i="9"/>
  <c r="K12" i="9"/>
  <c r="L12" i="9"/>
  <c r="M12" i="9"/>
  <c r="N12" i="9"/>
  <c r="O12" i="9"/>
  <c r="P12" i="9"/>
  <c r="Q12" i="9"/>
  <c r="Q16" i="9"/>
  <c r="P16" i="9"/>
  <c r="O16" i="9"/>
  <c r="N16" i="9"/>
  <c r="M16" i="9"/>
  <c r="L16" i="9"/>
  <c r="J16" i="9"/>
  <c r="K322" i="14"/>
  <c r="K321" i="14"/>
  <c r="K320" i="14"/>
  <c r="K319" i="14"/>
  <c r="K318" i="14"/>
  <c r="K317" i="14"/>
  <c r="K316" i="14"/>
  <c r="K315" i="14"/>
  <c r="K314" i="14"/>
  <c r="K313" i="14"/>
  <c r="K312" i="14"/>
  <c r="K311" i="14"/>
  <c r="K310" i="14"/>
  <c r="K309" i="14"/>
  <c r="K308" i="14"/>
  <c r="K307" i="14"/>
  <c r="K306" i="14"/>
  <c r="K305" i="14"/>
  <c r="K304" i="14"/>
  <c r="K303" i="14"/>
  <c r="K302" i="14"/>
  <c r="K301" i="14"/>
  <c r="K300" i="14"/>
  <c r="K299" i="14"/>
  <c r="K298" i="14"/>
  <c r="K297" i="14"/>
  <c r="K296" i="14"/>
  <c r="K295" i="14"/>
  <c r="K294" i="14"/>
  <c r="K293" i="14"/>
  <c r="K292" i="14"/>
  <c r="K291" i="14"/>
  <c r="K290" i="14"/>
  <c r="K289" i="14"/>
  <c r="K288" i="14"/>
  <c r="K287" i="14"/>
  <c r="K286" i="14"/>
  <c r="K285" i="14"/>
  <c r="K284" i="14"/>
  <c r="K283" i="14"/>
  <c r="K282" i="14"/>
  <c r="K281" i="14"/>
  <c r="K280" i="14"/>
  <c r="K279" i="14"/>
  <c r="K278" i="14"/>
  <c r="K277" i="14"/>
  <c r="K276" i="14"/>
  <c r="K275" i="14"/>
  <c r="K274" i="14"/>
  <c r="K273" i="14"/>
  <c r="K272" i="14"/>
  <c r="K271" i="14"/>
  <c r="K268" i="14"/>
  <c r="K267" i="14"/>
  <c r="K266" i="14"/>
  <c r="K265" i="14"/>
  <c r="G264" i="14"/>
  <c r="F264" i="14"/>
  <c r="E264" i="14"/>
  <c r="D264" i="14"/>
  <c r="K263" i="14"/>
  <c r="K262" i="14"/>
  <c r="K261" i="14"/>
  <c r="K260" i="14"/>
  <c r="K259" i="14"/>
  <c r="K258" i="14"/>
  <c r="K257" i="14"/>
  <c r="K256" i="14"/>
  <c r="K255" i="14"/>
  <c r="K254" i="14"/>
  <c r="K253" i="14"/>
  <c r="K252" i="14"/>
  <c r="K251" i="14"/>
  <c r="K250" i="14"/>
  <c r="K249" i="14"/>
  <c r="K248" i="14"/>
  <c r="K247" i="14"/>
  <c r="K246" i="14"/>
  <c r="K245" i="14"/>
  <c r="K244" i="14"/>
  <c r="K243" i="14"/>
  <c r="K242" i="14"/>
  <c r="K241" i="14"/>
  <c r="K240" i="14"/>
  <c r="K239" i="14"/>
  <c r="K238" i="14"/>
  <c r="K237" i="14"/>
  <c r="K236" i="14"/>
  <c r="K235" i="14"/>
  <c r="K234" i="14"/>
  <c r="K233" i="14"/>
  <c r="K232" i="14"/>
  <c r="K231" i="14"/>
  <c r="K230" i="14"/>
  <c r="K229" i="14"/>
  <c r="K228" i="14"/>
  <c r="K227" i="14"/>
  <c r="K226" i="14"/>
  <c r="K225" i="14"/>
  <c r="K224" i="14"/>
  <c r="K223" i="14"/>
  <c r="K222" i="14"/>
  <c r="K221" i="14"/>
  <c r="K220" i="14"/>
  <c r="K219" i="14"/>
  <c r="K218" i="14"/>
  <c r="K217" i="14"/>
  <c r="K216" i="14"/>
  <c r="K215" i="14"/>
  <c r="K214" i="14"/>
  <c r="K213" i="14"/>
  <c r="K212" i="14"/>
  <c r="K211" i="14"/>
  <c r="K210" i="14"/>
  <c r="K209" i="14"/>
  <c r="K208" i="14"/>
  <c r="K207" i="14"/>
  <c r="T206" i="14"/>
  <c r="S206" i="14"/>
  <c r="R206" i="14"/>
  <c r="Q206" i="14"/>
  <c r="P206" i="14"/>
  <c r="O206" i="14"/>
  <c r="N206" i="14"/>
  <c r="U206" i="14"/>
  <c r="K206" i="14"/>
  <c r="U205" i="14"/>
  <c r="K205" i="14"/>
  <c r="K204" i="14"/>
  <c r="K203" i="14"/>
  <c r="K202" i="14"/>
  <c r="K201" i="14"/>
  <c r="K200" i="14"/>
  <c r="K199" i="14"/>
  <c r="K198" i="14"/>
  <c r="K197" i="14"/>
  <c r="K196" i="14"/>
  <c r="K195" i="14"/>
  <c r="K194" i="14"/>
  <c r="K193" i="14"/>
  <c r="K192" i="14"/>
  <c r="K191" i="14"/>
  <c r="K190" i="14"/>
  <c r="K189" i="14"/>
  <c r="K188" i="14"/>
  <c r="K187" i="14"/>
  <c r="K186" i="14"/>
  <c r="K185" i="14"/>
  <c r="K184" i="14"/>
  <c r="K183" i="14"/>
  <c r="K182" i="14"/>
  <c r="K181" i="14"/>
  <c r="K180" i="14"/>
  <c r="K179" i="14"/>
  <c r="K178" i="14"/>
  <c r="K177" i="14"/>
  <c r="K176" i="14"/>
  <c r="K175" i="14"/>
  <c r="K174" i="14"/>
  <c r="K173" i="14"/>
  <c r="K172" i="14"/>
  <c r="K171" i="14"/>
  <c r="K170" i="14"/>
  <c r="K169" i="14"/>
  <c r="K168" i="14"/>
  <c r="K167" i="14"/>
  <c r="K166" i="14"/>
  <c r="K165" i="14"/>
  <c r="K164" i="14"/>
  <c r="K163" i="14"/>
  <c r="K162" i="14"/>
  <c r="K161" i="14"/>
  <c r="K160" i="14"/>
  <c r="K159" i="14"/>
  <c r="K158" i="14"/>
  <c r="K157" i="14"/>
  <c r="J156" i="14"/>
  <c r="I156" i="14"/>
  <c r="H156" i="14"/>
  <c r="G156" i="14"/>
  <c r="F156" i="14"/>
  <c r="E156" i="14"/>
  <c r="D156" i="14"/>
  <c r="K156" i="14" s="1"/>
  <c r="K155" i="14"/>
  <c r="K154" i="14"/>
  <c r="K153" i="14"/>
  <c r="K152" i="14"/>
  <c r="K151" i="14"/>
  <c r="K150" i="14"/>
  <c r="K149" i="14"/>
  <c r="K148" i="14"/>
  <c r="K147" i="14"/>
  <c r="K146" i="14"/>
  <c r="K145" i="14"/>
  <c r="J144" i="14"/>
  <c r="I144" i="14"/>
  <c r="H144" i="14"/>
  <c r="G144" i="14"/>
  <c r="F144" i="14"/>
  <c r="E144" i="14"/>
  <c r="D144" i="14"/>
  <c r="K143" i="14"/>
  <c r="K142" i="14"/>
  <c r="K141" i="14"/>
  <c r="K140" i="14"/>
  <c r="K139" i="14"/>
  <c r="K138" i="14"/>
  <c r="J137" i="14"/>
  <c r="I137" i="14"/>
  <c r="H137" i="14"/>
  <c r="G137" i="14"/>
  <c r="F137" i="14"/>
  <c r="E137" i="14"/>
  <c r="D137" i="14"/>
  <c r="K136" i="14"/>
  <c r="K135" i="14"/>
  <c r="J134" i="14"/>
  <c r="I134" i="14"/>
  <c r="H134" i="14"/>
  <c r="G134" i="14"/>
  <c r="F134" i="14"/>
  <c r="E134" i="14"/>
  <c r="D134" i="14"/>
  <c r="K134" i="14" s="1"/>
  <c r="K133" i="14"/>
  <c r="K132" i="14"/>
  <c r="K131" i="14"/>
  <c r="K130" i="14"/>
  <c r="J129" i="14"/>
  <c r="I129" i="14"/>
  <c r="H129" i="14"/>
  <c r="G129" i="14"/>
  <c r="F129" i="14"/>
  <c r="E129" i="14"/>
  <c r="D129" i="14"/>
  <c r="K128" i="14"/>
  <c r="K127" i="14"/>
  <c r="K126" i="14"/>
  <c r="K125" i="14"/>
  <c r="K124" i="14"/>
  <c r="K123" i="14"/>
  <c r="K121" i="14"/>
  <c r="K120" i="14"/>
  <c r="K119" i="14"/>
  <c r="K118" i="14"/>
  <c r="K117" i="14"/>
  <c r="K116" i="14"/>
  <c r="K115" i="14"/>
  <c r="K114" i="14"/>
  <c r="K113" i="14"/>
  <c r="K112" i="14"/>
  <c r="K111" i="14"/>
  <c r="K110" i="14"/>
  <c r="K109" i="14"/>
  <c r="K108" i="14"/>
  <c r="K107" i="14"/>
  <c r="K106" i="14"/>
  <c r="K105" i="14"/>
  <c r="K104" i="14"/>
  <c r="K103" i="14"/>
  <c r="K102" i="14"/>
  <c r="K101" i="14"/>
  <c r="K100" i="14"/>
  <c r="K99" i="14"/>
  <c r="K98" i="14"/>
  <c r="K97" i="14"/>
  <c r="K96" i="14"/>
  <c r="K95" i="14"/>
  <c r="K94" i="14"/>
  <c r="K93" i="14"/>
  <c r="K92" i="14"/>
  <c r="K91" i="14"/>
  <c r="K90" i="14"/>
  <c r="K89" i="14"/>
  <c r="K88" i="14"/>
  <c r="K87" i="14"/>
  <c r="K86" i="14"/>
  <c r="K85" i="14"/>
  <c r="K84" i="14"/>
  <c r="K83" i="14"/>
  <c r="K82" i="14"/>
  <c r="K81" i="14"/>
  <c r="K80" i="14"/>
  <c r="K79" i="14"/>
  <c r="K78" i="14"/>
  <c r="K77" i="14"/>
  <c r="K76" i="14"/>
  <c r="K75" i="14"/>
  <c r="K74" i="14"/>
  <c r="K73" i="14"/>
  <c r="K72" i="14"/>
  <c r="K71" i="14"/>
  <c r="K70" i="14"/>
  <c r="K69" i="14"/>
  <c r="K68" i="14"/>
  <c r="K67" i="14"/>
  <c r="K66" i="14"/>
  <c r="L65" i="14"/>
  <c r="K65" i="14"/>
  <c r="L64" i="14"/>
  <c r="K64" i="14"/>
  <c r="L63" i="14"/>
  <c r="K63" i="14"/>
  <c r="L62" i="14"/>
  <c r="K62" i="14"/>
  <c r="L61" i="14"/>
  <c r="K61" i="14"/>
  <c r="L60" i="14"/>
  <c r="K60" i="14"/>
  <c r="L59" i="14"/>
  <c r="K59" i="14"/>
  <c r="L58" i="14"/>
  <c r="K58" i="14"/>
  <c r="L57" i="14"/>
  <c r="K57" i="14"/>
  <c r="L56" i="14"/>
  <c r="K56" i="14"/>
  <c r="L55" i="14"/>
  <c r="K55" i="14"/>
  <c r="L54" i="14"/>
  <c r="K54" i="14"/>
  <c r="L53" i="14"/>
  <c r="K53" i="14"/>
  <c r="L52" i="14"/>
  <c r="K52" i="14"/>
  <c r="L51" i="14"/>
  <c r="K51" i="14"/>
  <c r="L50" i="14"/>
  <c r="K50" i="14"/>
  <c r="L49" i="14"/>
  <c r="K49" i="14"/>
  <c r="L48" i="14"/>
  <c r="K48" i="14"/>
  <c r="L47" i="14"/>
  <c r="K47" i="14"/>
  <c r="L46" i="14"/>
  <c r="K46" i="14"/>
  <c r="L45" i="14"/>
  <c r="K45" i="14"/>
  <c r="L44" i="14"/>
  <c r="K44" i="14"/>
  <c r="L43" i="14"/>
  <c r="K43" i="14"/>
  <c r="L42" i="14"/>
  <c r="K42" i="14"/>
  <c r="L41" i="14"/>
  <c r="K41" i="14"/>
  <c r="L40" i="14"/>
  <c r="K40" i="14"/>
  <c r="L39" i="14"/>
  <c r="K39" i="14"/>
  <c r="L38" i="14"/>
  <c r="K38" i="14"/>
  <c r="L37" i="14"/>
  <c r="K37" i="14"/>
  <c r="L36" i="14"/>
  <c r="K36" i="14"/>
  <c r="L35" i="14"/>
  <c r="K35" i="14"/>
  <c r="L34" i="14"/>
  <c r="K34" i="14"/>
  <c r="L33" i="14"/>
  <c r="K33" i="14"/>
  <c r="L32" i="14"/>
  <c r="K32" i="14"/>
  <c r="L31" i="14"/>
  <c r="K31" i="14"/>
  <c r="L30" i="14"/>
  <c r="K30" i="14"/>
  <c r="K29" i="14"/>
  <c r="L28" i="14"/>
  <c r="K28" i="14"/>
  <c r="L27" i="14"/>
  <c r="K27" i="14"/>
  <c r="L26" i="14"/>
  <c r="K26" i="14"/>
  <c r="L25" i="14"/>
  <c r="K25" i="14"/>
  <c r="L24" i="14"/>
  <c r="K24" i="14"/>
  <c r="L23" i="14"/>
  <c r="K23" i="14"/>
  <c r="L22" i="14"/>
  <c r="K22" i="14"/>
  <c r="L21" i="14"/>
  <c r="K21" i="14"/>
  <c r="L20" i="14"/>
  <c r="K20" i="14"/>
  <c r="L19" i="14"/>
  <c r="K19" i="14"/>
  <c r="L18" i="14"/>
  <c r="K18" i="14"/>
  <c r="L17" i="14"/>
  <c r="K17" i="14"/>
  <c r="L16" i="14"/>
  <c r="K16" i="14"/>
  <c r="L15" i="14"/>
  <c r="K15" i="14"/>
  <c r="L14" i="14"/>
  <c r="K14" i="14"/>
  <c r="L13" i="14"/>
  <c r="K13" i="14"/>
  <c r="L12" i="14"/>
  <c r="K12" i="14"/>
  <c r="L11" i="14"/>
  <c r="K11" i="14"/>
  <c r="L10" i="14"/>
  <c r="K10" i="14"/>
  <c r="L9" i="14"/>
  <c r="K9" i="14"/>
  <c r="L8" i="14"/>
  <c r="K8" i="14"/>
  <c r="L7" i="14"/>
  <c r="K7" i="14"/>
  <c r="L6" i="14"/>
  <c r="K6" i="14"/>
  <c r="L5" i="14"/>
  <c r="K5" i="14"/>
  <c r="L4" i="14"/>
  <c r="K4" i="14"/>
  <c r="K144" i="14"/>
  <c r="K264" i="14"/>
  <c r="K137" i="14"/>
  <c r="Q13" i="12"/>
  <c r="P13" i="12"/>
  <c r="O13" i="12"/>
  <c r="N13" i="12"/>
  <c r="M13" i="12"/>
  <c r="L13" i="12"/>
  <c r="K13" i="12"/>
  <c r="J13" i="12"/>
  <c r="G23" i="11"/>
  <c r="F23" i="11"/>
  <c r="E23" i="11"/>
  <c r="R13" i="9"/>
  <c r="J12" i="9"/>
  <c r="Q10" i="9"/>
  <c r="P10" i="9"/>
  <c r="O10" i="9"/>
  <c r="N10" i="9"/>
  <c r="M10" i="9"/>
  <c r="J10" i="9"/>
  <c r="J5" i="1"/>
  <c r="R41" i="11" l="1"/>
  <c r="I50" i="20"/>
  <c r="M50" i="20"/>
  <c r="G26" i="1" s="1"/>
  <c r="K50" i="20"/>
  <c r="E26" i="1" s="1"/>
  <c r="O50" i="20"/>
  <c r="I26" i="1" s="1"/>
  <c r="O204" i="19"/>
  <c r="Q143" i="19"/>
  <c r="I10" i="21" s="1"/>
  <c r="M143" i="19"/>
  <c r="E11" i="1" s="1"/>
  <c r="P143" i="19"/>
  <c r="H11" i="1" s="1"/>
  <c r="L143" i="19"/>
  <c r="D10" i="21" s="1"/>
  <c r="O143" i="19"/>
  <c r="G10" i="21" s="1"/>
  <c r="K143" i="19"/>
  <c r="C10" i="21" s="1"/>
  <c r="N143" i="19"/>
  <c r="F11" i="1" s="1"/>
  <c r="R183" i="19"/>
  <c r="Q23" i="11"/>
  <c r="M15" i="12"/>
  <c r="E13" i="21" s="1"/>
  <c r="L32" i="20"/>
  <c r="N50" i="20"/>
  <c r="N15" i="12"/>
  <c r="F13" i="21" s="1"/>
  <c r="J32" i="20"/>
  <c r="D23" i="1" s="1"/>
  <c r="P28" i="20"/>
  <c r="P38" i="20"/>
  <c r="N177" i="19"/>
  <c r="K15" i="12"/>
  <c r="C13" i="21" s="1"/>
  <c r="O15" i="12"/>
  <c r="G14" i="1" s="1"/>
  <c r="L32" i="11"/>
  <c r="C23" i="1"/>
  <c r="P11" i="20"/>
  <c r="K32" i="20"/>
  <c r="E35" i="21" s="1"/>
  <c r="M32" i="20"/>
  <c r="G35" i="21" s="1"/>
  <c r="P30" i="20"/>
  <c r="P31" i="20"/>
  <c r="P39" i="20"/>
  <c r="P40" i="20"/>
  <c r="P41" i="20"/>
  <c r="P42" i="20"/>
  <c r="P43" i="20"/>
  <c r="P20" i="20"/>
  <c r="P21" i="20"/>
  <c r="P44" i="20"/>
  <c r="O22" i="20"/>
  <c r="I16" i="21" s="1"/>
  <c r="P47" i="20"/>
  <c r="O21" i="9"/>
  <c r="G14" i="21" s="1"/>
  <c r="R12" i="9"/>
  <c r="R17" i="9"/>
  <c r="O26" i="9" s="1"/>
  <c r="N32" i="11"/>
  <c r="K32" i="11"/>
  <c r="R16" i="11"/>
  <c r="P23" i="11"/>
  <c r="R18" i="11"/>
  <c r="R22" i="11"/>
  <c r="R21" i="11"/>
  <c r="R20" i="11"/>
  <c r="R19" i="11"/>
  <c r="R14" i="11"/>
  <c r="R17" i="11"/>
  <c r="R15" i="11"/>
  <c r="R13" i="11"/>
  <c r="P32" i="11"/>
  <c r="R29" i="11"/>
  <c r="K129" i="14"/>
  <c r="M23" i="11"/>
  <c r="L23" i="11"/>
  <c r="O32" i="11"/>
  <c r="O23" i="11"/>
  <c r="K23" i="11"/>
  <c r="N23" i="11"/>
  <c r="M32" i="11"/>
  <c r="Q32" i="11"/>
  <c r="L177" i="19"/>
  <c r="R175" i="19"/>
  <c r="K177" i="19"/>
  <c r="O177" i="19"/>
  <c r="R174" i="19"/>
  <c r="J9" i="1"/>
  <c r="R173" i="19"/>
  <c r="J7" i="1"/>
  <c r="J8" i="1"/>
  <c r="N204" i="19"/>
  <c r="K204" i="19"/>
  <c r="R184" i="19"/>
  <c r="P177" i="19"/>
  <c r="R23" i="19"/>
  <c r="R21" i="19"/>
  <c r="R24" i="19"/>
  <c r="R25" i="19"/>
  <c r="R26" i="19"/>
  <c r="R27" i="19"/>
  <c r="R28" i="19"/>
  <c r="R22" i="19"/>
  <c r="J10" i="1"/>
  <c r="D35" i="21"/>
  <c r="I23" i="1"/>
  <c r="I35" i="21"/>
  <c r="C26" i="1"/>
  <c r="C38" i="21"/>
  <c r="G38" i="21"/>
  <c r="K21" i="9"/>
  <c r="C15" i="1" s="1"/>
  <c r="K193" i="19"/>
  <c r="R189" i="19"/>
  <c r="L22" i="20"/>
  <c r="M22" i="20"/>
  <c r="M21" i="9"/>
  <c r="E15" i="1" s="1"/>
  <c r="Q21" i="9"/>
  <c r="I14" i="21" s="1"/>
  <c r="R13" i="12"/>
  <c r="N21" i="9"/>
  <c r="F14" i="21" s="1"/>
  <c r="R15" i="9"/>
  <c r="R200" i="19"/>
  <c r="N193" i="19"/>
  <c r="M193" i="19"/>
  <c r="R185" i="19"/>
  <c r="R190" i="19"/>
  <c r="R191" i="19"/>
  <c r="R192" i="19"/>
  <c r="R201" i="19"/>
  <c r="R202" i="19"/>
  <c r="P27" i="20"/>
  <c r="N22" i="20"/>
  <c r="H18" i="1" s="1"/>
  <c r="P12" i="20"/>
  <c r="P14" i="20"/>
  <c r="P15" i="20"/>
  <c r="P16" i="20"/>
  <c r="P19" i="20"/>
  <c r="P18" i="20"/>
  <c r="P48" i="20"/>
  <c r="P21" i="9"/>
  <c r="H15" i="1" s="1"/>
  <c r="R12" i="12"/>
  <c r="M177" i="19"/>
  <c r="Q177" i="19"/>
  <c r="R170" i="19"/>
  <c r="R172" i="19"/>
  <c r="H22" i="20"/>
  <c r="K22" i="20"/>
  <c r="E18" i="1" s="1"/>
  <c r="P46" i="20"/>
  <c r="P45" i="20"/>
  <c r="J8" i="21"/>
  <c r="J34" i="21"/>
  <c r="R10" i="9"/>
  <c r="F14" i="1"/>
  <c r="Q15" i="12"/>
  <c r="L15" i="12"/>
  <c r="R186" i="19"/>
  <c r="R187" i="19"/>
  <c r="R188" i="19"/>
  <c r="M204" i="19"/>
  <c r="R12" i="11"/>
  <c r="L50" i="20"/>
  <c r="L21" i="9"/>
  <c r="P15" i="12"/>
  <c r="R16" i="9"/>
  <c r="E38" i="21"/>
  <c r="J50" i="20"/>
  <c r="P37" i="20"/>
  <c r="R169" i="19"/>
  <c r="L204" i="19"/>
  <c r="R199" i="19"/>
  <c r="R28" i="11"/>
  <c r="J22" i="20"/>
  <c r="H32" i="20"/>
  <c r="P29" i="20"/>
  <c r="P13" i="20"/>
  <c r="I22" i="20"/>
  <c r="P17" i="20"/>
  <c r="H35" i="21"/>
  <c r="J7" i="21"/>
  <c r="J9" i="21"/>
  <c r="D13" i="1" l="1"/>
  <c r="I38" i="21"/>
  <c r="I13" i="1"/>
  <c r="G13" i="21"/>
  <c r="E23" i="1"/>
  <c r="C14" i="1"/>
  <c r="E14" i="1"/>
  <c r="R143" i="19"/>
  <c r="H16" i="21"/>
  <c r="F12" i="21"/>
  <c r="I18" i="1"/>
  <c r="F13" i="1"/>
  <c r="H26" i="1"/>
  <c r="H38" i="21"/>
  <c r="H14" i="21"/>
  <c r="F23" i="1"/>
  <c r="F35" i="21"/>
  <c r="J35" i="21" s="1"/>
  <c r="G13" i="1"/>
  <c r="G15" i="1"/>
  <c r="P22" i="20"/>
  <c r="P50" i="20"/>
  <c r="E16" i="21"/>
  <c r="P32" i="20"/>
  <c r="G23" i="1"/>
  <c r="R15" i="12"/>
  <c r="C14" i="21"/>
  <c r="E14" i="21"/>
  <c r="F15" i="1"/>
  <c r="L26" i="9"/>
  <c r="D12" i="21"/>
  <c r="H13" i="1"/>
  <c r="C12" i="21"/>
  <c r="E13" i="1"/>
  <c r="H12" i="21"/>
  <c r="E12" i="21"/>
  <c r="R23" i="11"/>
  <c r="I15" i="1"/>
  <c r="C13" i="1"/>
  <c r="I12" i="21"/>
  <c r="R32" i="11"/>
  <c r="G12" i="21"/>
  <c r="R193" i="19"/>
  <c r="I12" i="1"/>
  <c r="I11" i="21"/>
  <c r="E12" i="1"/>
  <c r="E11" i="21"/>
  <c r="R204" i="19"/>
  <c r="H11" i="21"/>
  <c r="H12" i="1"/>
  <c r="D11" i="21"/>
  <c r="D12" i="1"/>
  <c r="F11" i="21"/>
  <c r="F12" i="1"/>
  <c r="G12" i="1"/>
  <c r="G11" i="21"/>
  <c r="H10" i="21"/>
  <c r="D11" i="1"/>
  <c r="F10" i="21"/>
  <c r="I11" i="1"/>
  <c r="G11" i="1"/>
  <c r="E10" i="21"/>
  <c r="C11" i="1"/>
  <c r="F18" i="1"/>
  <c r="F16" i="21"/>
  <c r="R177" i="19"/>
  <c r="G18" i="1"/>
  <c r="G16" i="21"/>
  <c r="I13" i="21"/>
  <c r="I14" i="1"/>
  <c r="C16" i="21"/>
  <c r="C18" i="1"/>
  <c r="D15" i="1"/>
  <c r="D14" i="21"/>
  <c r="F26" i="1"/>
  <c r="F38" i="21"/>
  <c r="D13" i="21"/>
  <c r="D14" i="1"/>
  <c r="D16" i="21"/>
  <c r="D18" i="1"/>
  <c r="D26" i="1"/>
  <c r="D38" i="21"/>
  <c r="H14" i="1"/>
  <c r="H13" i="21"/>
  <c r="R21" i="9"/>
  <c r="J23" i="1" l="1"/>
  <c r="G15" i="21"/>
  <c r="E16" i="1"/>
  <c r="E19" i="1" s="1"/>
  <c r="E24" i="1" s="1"/>
  <c r="E25" i="1" s="1"/>
  <c r="F16" i="1"/>
  <c r="F19" i="1" s="1"/>
  <c r="J13" i="1"/>
  <c r="J14" i="21"/>
  <c r="J15" i="1"/>
  <c r="J12" i="21"/>
  <c r="I15" i="21"/>
  <c r="I20" i="21" s="1"/>
  <c r="I21" i="21" s="1"/>
  <c r="I29" i="21" s="1"/>
  <c r="H16" i="1"/>
  <c r="H17" i="1" s="1"/>
  <c r="F15" i="21"/>
  <c r="G16" i="1"/>
  <c r="G17" i="1" s="1"/>
  <c r="C12" i="1"/>
  <c r="J12" i="1" s="1"/>
  <c r="C11" i="21"/>
  <c r="H15" i="21"/>
  <c r="H20" i="21" s="1"/>
  <c r="H21" i="21" s="1"/>
  <c r="H29" i="21" s="1"/>
  <c r="J10" i="21"/>
  <c r="I16" i="1"/>
  <c r="I19" i="1" s="1"/>
  <c r="E15" i="21"/>
  <c r="J11" i="1"/>
  <c r="J26" i="1"/>
  <c r="J13" i="21"/>
  <c r="D15" i="21"/>
  <c r="D20" i="21" s="1"/>
  <c r="D21" i="21" s="1"/>
  <c r="D29" i="21" s="1"/>
  <c r="J16" i="21"/>
  <c r="J38" i="21"/>
  <c r="J14" i="1"/>
  <c r="D16" i="1"/>
  <c r="J18" i="1"/>
  <c r="F20" i="21" l="1"/>
  <c r="F21" i="21" s="1"/>
  <c r="F29" i="21" s="1"/>
  <c r="E20" i="21"/>
  <c r="E21" i="21" s="1"/>
  <c r="E29" i="21" s="1"/>
  <c r="G20" i="21"/>
  <c r="G21" i="21" s="1"/>
  <c r="G29" i="21" s="1"/>
  <c r="E21" i="1"/>
  <c r="E20" i="1"/>
  <c r="E17" i="1"/>
  <c r="G17" i="21"/>
  <c r="H17" i="21"/>
  <c r="E17" i="21"/>
  <c r="E18" i="21" s="1"/>
  <c r="F17" i="21"/>
  <c r="F18" i="21" s="1"/>
  <c r="I17" i="21"/>
  <c r="I18" i="21" s="1"/>
  <c r="D17" i="21"/>
  <c r="F17" i="1"/>
  <c r="H19" i="1"/>
  <c r="H24" i="1" s="1"/>
  <c r="H25" i="1" s="1"/>
  <c r="G19" i="1"/>
  <c r="G21" i="1" s="1"/>
  <c r="C16" i="1"/>
  <c r="J16" i="1" s="1"/>
  <c r="J17" i="1" s="1"/>
  <c r="J11" i="21"/>
  <c r="C15" i="21"/>
  <c r="C20" i="21" s="1"/>
  <c r="I17" i="1"/>
  <c r="F20" i="1"/>
  <c r="F24" i="1"/>
  <c r="F25" i="1" s="1"/>
  <c r="F21" i="1"/>
  <c r="D19" i="1"/>
  <c r="D17" i="1"/>
  <c r="I20" i="1"/>
  <c r="I21" i="1"/>
  <c r="I24" i="1"/>
  <c r="I25" i="1" s="1"/>
  <c r="D31" i="21" l="1"/>
  <c r="D18" i="21"/>
  <c r="H31" i="21"/>
  <c r="H18" i="21"/>
  <c r="G22" i="21"/>
  <c r="G18" i="21"/>
  <c r="C21" i="21"/>
  <c r="C29" i="21" s="1"/>
  <c r="J29" i="21" s="1"/>
  <c r="C31" i="21"/>
  <c r="G36" i="21"/>
  <c r="G37" i="21" s="1"/>
  <c r="G31" i="21"/>
  <c r="F22" i="21"/>
  <c r="I22" i="21"/>
  <c r="C17" i="21"/>
  <c r="H36" i="21"/>
  <c r="H37" i="21" s="1"/>
  <c r="H22" i="21"/>
  <c r="I36" i="21"/>
  <c r="I37" i="21" s="1"/>
  <c r="I31" i="21"/>
  <c r="H20" i="1"/>
  <c r="H21" i="1"/>
  <c r="G20" i="1"/>
  <c r="G24" i="1"/>
  <c r="G25" i="1" s="1"/>
  <c r="F36" i="21"/>
  <c r="F37" i="21" s="1"/>
  <c r="F31" i="21"/>
  <c r="J15" i="21"/>
  <c r="C17" i="1"/>
  <c r="C19" i="1"/>
  <c r="J19" i="1" s="1"/>
  <c r="J21" i="1" s="1"/>
  <c r="E36" i="21"/>
  <c r="E37" i="21" s="1"/>
  <c r="E31" i="21"/>
  <c r="E22" i="21"/>
  <c r="D20" i="1"/>
  <c r="D21" i="1"/>
  <c r="D24" i="1"/>
  <c r="D36" i="21"/>
  <c r="D37" i="21" s="1"/>
  <c r="D22" i="21"/>
  <c r="J20" i="21" l="1"/>
  <c r="J21" i="21" s="1"/>
  <c r="C18" i="21"/>
  <c r="J18" i="21"/>
  <c r="K15" i="21"/>
  <c r="J17" i="21"/>
  <c r="J31" i="21"/>
  <c r="C22" i="21"/>
  <c r="C36" i="21"/>
  <c r="C37" i="21" s="1"/>
  <c r="C21" i="1"/>
  <c r="C20" i="1"/>
  <c r="J20" i="1" s="1"/>
  <c r="C24" i="1"/>
  <c r="C25" i="1" s="1"/>
  <c r="D25" i="1"/>
  <c r="K34" i="21" l="1"/>
  <c r="K19" i="21"/>
  <c r="J22" i="21"/>
  <c r="J24" i="1"/>
  <c r="J25" i="1" s="1"/>
  <c r="J36" i="21"/>
  <c r="J37" i="21" s="1"/>
</calcChain>
</file>

<file path=xl/comments1.xml><?xml version="1.0" encoding="utf-8"?>
<comments xmlns="http://schemas.openxmlformats.org/spreadsheetml/2006/main">
  <authors>
    <author>ngt_citrixprovision</author>
  </authors>
  <commentList>
    <comment ref="K176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Risk-share adjusted M5
</t>
        </r>
      </text>
    </comment>
    <comment ref="K221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Averaged over 12/13 and 13/14 as per Mgmt Team paper for CITT team funding proposals</t>
        </r>
      </text>
    </comment>
    <comment ref="K222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Averaged over 12/13 and 13/14 as per Mgmt Team paper for CITT team funding proposals</t>
        </r>
      </text>
    </comment>
  </commentList>
</comments>
</file>

<file path=xl/sharedStrings.xml><?xml version="1.0" encoding="utf-8"?>
<sst xmlns="http://schemas.openxmlformats.org/spreadsheetml/2006/main" count="2025" uniqueCount="624">
  <si>
    <t>ABM</t>
  </si>
  <si>
    <t>Aneurin Bevan</t>
  </si>
  <si>
    <t>Cardiff &amp; Vale</t>
  </si>
  <si>
    <t>Cwm Taf</t>
  </si>
  <si>
    <t>Hywel Dda</t>
  </si>
  <si>
    <t>Powys</t>
  </si>
  <si>
    <t>Total</t>
  </si>
  <si>
    <t>UHB</t>
  </si>
  <si>
    <t>THB</t>
  </si>
  <si>
    <t>£m</t>
  </si>
  <si>
    <t>Reinstate Non Recurrent Writebacks</t>
  </si>
  <si>
    <t>Adjustments for NRP</t>
  </si>
  <si>
    <t>Table 3d</t>
  </si>
  <si>
    <t>Table 3f</t>
  </si>
  <si>
    <t>WHSSC ICP Financial Tables</t>
  </si>
  <si>
    <t>Commissioner Split</t>
  </si>
  <si>
    <t>Baseline Assessment</t>
  </si>
  <si>
    <t>Renal</t>
  </si>
  <si>
    <t>Aneurin</t>
  </si>
  <si>
    <t xml:space="preserve">Betsi </t>
  </si>
  <si>
    <t xml:space="preserve">Cardiff </t>
  </si>
  <si>
    <t xml:space="preserve">Cwm </t>
  </si>
  <si>
    <t xml:space="preserve">Hywel </t>
  </si>
  <si>
    <t>Velindre</t>
  </si>
  <si>
    <t>Unallocated</t>
  </si>
  <si>
    <t>DRC</t>
  </si>
  <si>
    <t>2018/19</t>
  </si>
  <si>
    <t>Thoracic</t>
  </si>
  <si>
    <t>Split Code</t>
  </si>
  <si>
    <t>Bevan</t>
  </si>
  <si>
    <t>Cadwaladr</t>
  </si>
  <si>
    <t>and Vale</t>
  </si>
  <si>
    <t>Taf</t>
  </si>
  <si>
    <t>Dda</t>
  </si>
  <si>
    <t>Ref</t>
  </si>
  <si>
    <t>Programme Team</t>
  </si>
  <si>
    <t>IPM</t>
  </si>
  <si>
    <t>PHT</t>
  </si>
  <si>
    <t>Cardio-Thoracic</t>
  </si>
  <si>
    <t>HPN</t>
  </si>
  <si>
    <t>Neuro and LTC</t>
  </si>
  <si>
    <t>England</t>
  </si>
  <si>
    <t>Bariatrics Stage 1</t>
  </si>
  <si>
    <t>Cancer and Blood</t>
  </si>
  <si>
    <t>Burns</t>
  </si>
  <si>
    <t>NICU</t>
  </si>
  <si>
    <t>Plastics</t>
  </si>
  <si>
    <t>Women and Childrens</t>
  </si>
  <si>
    <t>Rehab</t>
  </si>
  <si>
    <t>Sarcoma</t>
  </si>
  <si>
    <t>Renal Network</t>
  </si>
  <si>
    <t>Cardiology</t>
  </si>
  <si>
    <t>BCU</t>
  </si>
  <si>
    <t>Angioplasty</t>
  </si>
  <si>
    <t>Cardiff</t>
  </si>
  <si>
    <t xml:space="preserve">ABM Cardiology </t>
  </si>
  <si>
    <t>BMT - Cardiff &amp; ABM</t>
  </si>
  <si>
    <t>Cardiac Surgery</t>
  </si>
  <si>
    <t>Cardiac Surgery-TAVI</t>
  </si>
  <si>
    <t>Cardiology for AB</t>
  </si>
  <si>
    <t>Epilepsy Surgery</t>
  </si>
  <si>
    <t>Home Renal Dialysis</t>
  </si>
  <si>
    <t>Home TPN</t>
  </si>
  <si>
    <t>Hospital Renal Dialysis</t>
  </si>
  <si>
    <t>Nephrology</t>
  </si>
  <si>
    <t>Neuropsychiatry</t>
  </si>
  <si>
    <t>Neurosurgery</t>
  </si>
  <si>
    <t>Paediatric Cardiology</t>
  </si>
  <si>
    <t>Paediatric ENT</t>
  </si>
  <si>
    <t>Paediatric Gastroenterology</t>
  </si>
  <si>
    <t>Paediatric Neurology</t>
  </si>
  <si>
    <t>Paediatric Oncology</t>
  </si>
  <si>
    <t>Paediatric Renal</t>
  </si>
  <si>
    <t>Renal CAPD (Dialysis)</t>
  </si>
  <si>
    <t>Renal Surgery</t>
  </si>
  <si>
    <t>Renal Transplants</t>
  </si>
  <si>
    <t>Thoracic Surgery</t>
  </si>
  <si>
    <t>CAMHS T4</t>
  </si>
  <si>
    <t>Ataluren NS Duchene Muscular Dystrophy</t>
  </si>
  <si>
    <t>Bariatrics Stage 2 - (agreed as 2015/16 development)</t>
  </si>
  <si>
    <t>Cystic fibrosis - Ivacaftor NONG551D (AWMSG)</t>
  </si>
  <si>
    <t>Adult Mental Health</t>
  </si>
  <si>
    <t>Melignant Melanoma treatments</t>
  </si>
  <si>
    <t xml:space="preserve">Paediatric Cardiology RTT
</t>
  </si>
  <si>
    <t>CAMHS/ED Network</t>
  </si>
  <si>
    <t>Neonatal Network</t>
  </si>
  <si>
    <t>WHSSC - Core non-pay</t>
  </si>
  <si>
    <t>WHSSC - Core Staffing</t>
  </si>
  <si>
    <t>ALAS (War veterans)</t>
  </si>
  <si>
    <t>NCA / IPFR / Prior Approvals</t>
  </si>
  <si>
    <t>CAMHS OOA - BCU patients</t>
  </si>
  <si>
    <t>CAMHS OOA - South Wales patients</t>
  </si>
  <si>
    <t>Eating Disorders</t>
  </si>
  <si>
    <t>FACTS OOA - All-Wales</t>
  </si>
  <si>
    <t>Forensic Mental Health</t>
  </si>
  <si>
    <t>Gender</t>
  </si>
  <si>
    <t>IVF (non-Wales)</t>
  </si>
  <si>
    <t>Medium secure DTOC recharges</t>
  </si>
  <si>
    <t>Perinatal OOA</t>
  </si>
  <si>
    <t>Ivacaftor - C&amp;V drugs</t>
  </si>
  <si>
    <t>ABHB Gwent Nephrology Sessions</t>
  </si>
  <si>
    <t xml:space="preserve">ABMU Pharmacy Infrastructure </t>
  </si>
  <si>
    <t>Cardiff and Vale Transplant Centre - National Organ Retrieval Service</t>
  </si>
  <si>
    <t xml:space="preserve">Hywel Dda LHB Support Costs </t>
  </si>
  <si>
    <t>LHB contribution into secondary care centre in UHW</t>
  </si>
  <si>
    <t>Llandrindod Wells (Birmingham satellite unit)</t>
  </si>
  <si>
    <t>Llandrindod Wells (Birmingham satellite unit) - Dietetics Recharge</t>
  </si>
  <si>
    <t>Royal Liverpool and Broadgreeen Transplant Centre</t>
  </si>
  <si>
    <t>Royal Liverpool and Broadgreeen Transplant Centre - Prior Year Under Performance</t>
  </si>
  <si>
    <t>Shrewsbury and Telford Dialysis unit</t>
  </si>
  <si>
    <t xml:space="preserve">Swansea Area Medical Service Transport Contract </t>
  </si>
  <si>
    <t>University Hospitals Birmingham Transplant Centre</t>
  </si>
  <si>
    <t>WBS WTAIL Transplant Laboratory - scientific staff</t>
  </si>
  <si>
    <t>West Wales Dialysis Transport ( patient re-imbursement )</t>
  </si>
  <si>
    <t>Wirral University Hospitals Dialysis LTA</t>
  </si>
  <si>
    <t>Wirral University Hospitals Dialysis LTA - Prior Year Over Performance</t>
  </si>
  <si>
    <t>Cancer Services (Main LTA)</t>
  </si>
  <si>
    <t>Full year effect of Prior Year Developments</t>
  </si>
  <si>
    <t>68-Gallium DOTA scanning (UCL)</t>
  </si>
  <si>
    <t xml:space="preserve">BMT Phase 3 
 </t>
  </si>
  <si>
    <t>Hepatology</t>
  </si>
  <si>
    <t xml:space="preserve">Liver ablation 
 </t>
  </si>
  <si>
    <t xml:space="preserve">Neuroendocrine Tumours (NETs) 
 </t>
  </si>
  <si>
    <t xml:space="preserve">Thoracic surgery infrastructure
</t>
  </si>
  <si>
    <t xml:space="preserve">Clinical Immunology (infrastructure)
 </t>
  </si>
  <si>
    <t>Clinical Immunology non pay growth</t>
  </si>
  <si>
    <t xml:space="preserve">Interventional neuroradiology 
 </t>
  </si>
  <si>
    <t xml:space="preserve">Neurosurgery 
</t>
  </si>
  <si>
    <t xml:space="preserve">Neurovascular 
 </t>
  </si>
  <si>
    <t>Prosthetics service sustainability for war veterans</t>
  </si>
  <si>
    <t>Asfotase Alfa - HPP ERT</t>
  </si>
  <si>
    <t>BAHA &amp; Cochlears growth North Wales</t>
  </si>
  <si>
    <t>BAHA &amp; Cochlears growth South Wales</t>
  </si>
  <si>
    <t>Elosulfase Alfa - VIMZIM ERT (Ministerial ratification)</t>
  </si>
  <si>
    <t xml:space="preserve">Fetal cardiology 
 </t>
  </si>
  <si>
    <t xml:space="preserve">Genetics - Stratified Medicine
 </t>
  </si>
  <si>
    <t xml:space="preserve">Genetics - UKGTN
 </t>
  </si>
  <si>
    <t xml:space="preserve">Paediatric surgery 
</t>
  </si>
  <si>
    <t>Table 7b</t>
  </si>
  <si>
    <t>IPC Unavoidable growth</t>
  </si>
  <si>
    <t>ERT</t>
  </si>
  <si>
    <t>Women and Children</t>
  </si>
  <si>
    <t>IVF</t>
  </si>
  <si>
    <t>PETIC</t>
  </si>
  <si>
    <t>Total IPC unavoidable growth</t>
  </si>
  <si>
    <t>Financial Framework- Growth Assessment</t>
  </si>
  <si>
    <t>Total Financial Framework</t>
  </si>
  <si>
    <t>Table 5</t>
  </si>
  <si>
    <t>Velindre Radiotherapy expansion</t>
  </si>
  <si>
    <t>Planning Ref</t>
  </si>
  <si>
    <t>Mandated</t>
  </si>
  <si>
    <t>2019/20</t>
  </si>
  <si>
    <t>Neuro-oncology</t>
  </si>
  <si>
    <t>Fetal Medicine</t>
  </si>
  <si>
    <t>Table 9a</t>
  </si>
  <si>
    <t>Table 9b</t>
  </si>
  <si>
    <t>Reference</t>
  </si>
  <si>
    <t>Neurology</t>
  </si>
  <si>
    <t>Cwm Taf Cardiology ICD's</t>
  </si>
  <si>
    <t>Cystic Fibrosis</t>
  </si>
  <si>
    <t>Decommission HCS data contract (assume 6 months)</t>
  </si>
  <si>
    <t>AWBS</t>
  </si>
  <si>
    <t>Riskshare Tables</t>
  </si>
  <si>
    <t>All</t>
  </si>
  <si>
    <t>Aggregate Score</t>
  </si>
  <si>
    <t>C&amp;V</t>
  </si>
  <si>
    <t>CT</t>
  </si>
  <si>
    <t>AB</t>
  </si>
  <si>
    <t>HD</t>
  </si>
  <si>
    <t>Po</t>
  </si>
  <si>
    <t>BC</t>
  </si>
  <si>
    <t>Neonatal Care - NICU/HDU/SCBU</t>
  </si>
  <si>
    <t>Communication Equipment (AAC)</t>
  </si>
  <si>
    <t>Thoracic Surgery - Cardiff</t>
  </si>
  <si>
    <t>Deaf MH</t>
  </si>
  <si>
    <t>IVF (Welsh contracts)</t>
  </si>
  <si>
    <t>BCU Pharmacy Infrastructure</t>
  </si>
  <si>
    <t xml:space="preserve">LHB contribution into secondary care centre in Wrexham </t>
  </si>
  <si>
    <t>NWSSP Procurement Support Costs</t>
  </si>
  <si>
    <t>Case Management Investment b</t>
  </si>
  <si>
    <t>Non Welsh SLA</t>
  </si>
  <si>
    <t>MH High Secure - Case Management Investment</t>
  </si>
  <si>
    <t>Provider</t>
  </si>
  <si>
    <t>Table 3a</t>
  </si>
  <si>
    <t>Reported Financial Position Month 10</t>
  </si>
  <si>
    <t xml:space="preserve">All </t>
  </si>
  <si>
    <t>Spinal Implants</t>
  </si>
  <si>
    <t>Table 9c</t>
  </si>
  <si>
    <t>IPC / Unavoidable Growth</t>
  </si>
  <si>
    <t>Table 6</t>
  </si>
  <si>
    <t>Code</t>
  </si>
  <si>
    <t>Service</t>
  </si>
  <si>
    <t>Haemophilia</t>
  </si>
  <si>
    <t>BMT - Phase 1</t>
  </si>
  <si>
    <t>BMT - Phase 2</t>
  </si>
  <si>
    <t>Cardiology- Specialist Services</t>
  </si>
  <si>
    <t>Cwm Taf Cardiology PPCI</t>
  </si>
  <si>
    <t>Cardiology-Non Specialist</t>
  </si>
  <si>
    <t>ACHD</t>
  </si>
  <si>
    <t>Cardiac Surgery - Development S W Wales</t>
  </si>
  <si>
    <t>Cardiac Surgery - Development S E Wales</t>
  </si>
  <si>
    <t>Perinatal</t>
  </si>
  <si>
    <t>Mental Illness - Neuropsychiatry daycase</t>
  </si>
  <si>
    <t>NICU BH</t>
  </si>
  <si>
    <t>PICU BH</t>
  </si>
  <si>
    <t>ALAS</t>
  </si>
  <si>
    <t>BAHAS &amp; Cochlears</t>
  </si>
  <si>
    <t>Clinical Immunology</t>
  </si>
  <si>
    <t>Clinical Immunology - Transfer of Service</t>
  </si>
  <si>
    <t>Enzyme Replacement Therapy</t>
  </si>
  <si>
    <t>Medical Genetics</t>
  </si>
  <si>
    <t>UK GTN Send out tests</t>
  </si>
  <si>
    <t>Regional Pharmaceutical Service</t>
  </si>
  <si>
    <t>NICE / High Cost Drugs</t>
  </si>
  <si>
    <t>Spinal Injuries</t>
  </si>
  <si>
    <t>Paediatric Surgery</t>
  </si>
  <si>
    <t>Fetal Cardiology</t>
  </si>
  <si>
    <t>Paeds Cystic Fibrosis</t>
  </si>
  <si>
    <t>ISAT - Coils</t>
  </si>
  <si>
    <t>Neuro Rehab</t>
  </si>
  <si>
    <t>Mother &amp; Baby</t>
  </si>
  <si>
    <t>Haemophilia Ref Centre</t>
  </si>
  <si>
    <t>Long-Term Ventilation</t>
  </si>
  <si>
    <t>Lymphoma Panel</t>
  </si>
  <si>
    <t>Capital Charges</t>
  </si>
  <si>
    <t>Teenage Cancer Unit</t>
  </si>
  <si>
    <t>Paeds Haematologist</t>
  </si>
  <si>
    <t>Specialist Physio</t>
  </si>
  <si>
    <t>AICU</t>
  </si>
  <si>
    <t>HDU</t>
  </si>
  <si>
    <t>Inflation/SCEP to be allocated to services</t>
  </si>
  <si>
    <t>Liver Cancer Development</t>
  </si>
  <si>
    <t>To charge only actual device cost  DES, ICD, ISAT etc (provisional)</t>
  </si>
  <si>
    <t>Children's Hospital for Wales</t>
  </si>
  <si>
    <t>Paeds Neuro Rehab</t>
  </si>
  <si>
    <t>ILD RHIG Funded</t>
  </si>
  <si>
    <t>ABMU</t>
  </si>
  <si>
    <t>Renal - West Wales ISP Units</t>
  </si>
  <si>
    <t>Cardiology PPCI</t>
  </si>
  <si>
    <t>Cardiology PPCI Jumbulance</t>
  </si>
  <si>
    <t>CLP</t>
  </si>
  <si>
    <t>Rehab Slippage</t>
  </si>
  <si>
    <t>ALAC</t>
  </si>
  <si>
    <t>NICE</t>
  </si>
  <si>
    <t>Clinical Genetics</t>
  </si>
  <si>
    <t>Cochlears</t>
  </si>
  <si>
    <t>East Cardiology - moved to cardiology</t>
  </si>
  <si>
    <t>Medium Secure Mental Health - East Forensics</t>
  </si>
  <si>
    <t>Mental Health Academic Fee</t>
  </si>
  <si>
    <t>SMTL</t>
  </si>
  <si>
    <t>Residual Capital Charge</t>
  </si>
  <si>
    <t>Bariatrics</t>
  </si>
  <si>
    <t>Sentinel Node Biopsy</t>
  </si>
  <si>
    <t>EMRTS</t>
  </si>
  <si>
    <t>BAHA</t>
  </si>
  <si>
    <t>Cervical screening capital charge adjustment</t>
  </si>
  <si>
    <t>BMT</t>
  </si>
  <si>
    <t>ICD</t>
  </si>
  <si>
    <t>CAMHS - Inpatient unit</t>
  </si>
  <si>
    <t>CAMHS - CITT team</t>
  </si>
  <si>
    <t>Cochlear Implants</t>
  </si>
  <si>
    <t>Medium Secure Mental Health</t>
  </si>
  <si>
    <t>PET Scan</t>
  </si>
  <si>
    <t>Neonatal HDU</t>
  </si>
  <si>
    <t>CITT</t>
  </si>
  <si>
    <t>FACTS</t>
  </si>
  <si>
    <t>SCEP</t>
  </si>
  <si>
    <t>Aggregate CT</t>
  </si>
  <si>
    <t>Anuerin Bevan</t>
  </si>
  <si>
    <t>Angiography</t>
  </si>
  <si>
    <t>RF ablation</t>
  </si>
  <si>
    <t>Aggregate AB</t>
  </si>
  <si>
    <t>Hywel Dda Health Board Provider</t>
  </si>
  <si>
    <t>Cervical Screening Capital Charges</t>
  </si>
  <si>
    <t>Aggregate HD</t>
  </si>
  <si>
    <t>Welsh Blood Service</t>
  </si>
  <si>
    <t>SRS/SBRT/Cerebral Mets &amp; IGBT</t>
  </si>
  <si>
    <t>Melanoma Pathway Drugs</t>
  </si>
  <si>
    <t>Other NICE cancer drugs</t>
  </si>
  <si>
    <t>Brachytherapy- Saving Scheme</t>
  </si>
  <si>
    <t>Aggregate Velindre</t>
  </si>
  <si>
    <t>WAST</t>
  </si>
  <si>
    <t>Emergency Services - Revenue</t>
  </si>
  <si>
    <t>Emergency Services - Capital Charges</t>
  </si>
  <si>
    <t>Neonatal Transport</t>
  </si>
  <si>
    <t>Air Ambulance</t>
  </si>
  <si>
    <t>ARRP (15/16 confirmed)</t>
  </si>
  <si>
    <t>NHS Direct</t>
  </si>
  <si>
    <t>NHS Direct- Saving Scheme</t>
  </si>
  <si>
    <t>Allocation Letter Depreciation WAST Approved Strategic Adjustment</t>
  </si>
  <si>
    <t>Ministerial Assistance non recurring</t>
  </si>
  <si>
    <t>VER re-payment</t>
  </si>
  <si>
    <t>Aggregate WAST</t>
  </si>
  <si>
    <t>Non Welsh SLAs</t>
  </si>
  <si>
    <t>Alder Hey Children's NHS Foundation Trust</t>
  </si>
  <si>
    <t>Alder Hey Children's- Blood Factor Products</t>
  </si>
  <si>
    <t>Birmingham Children's Hospital NHS Foundation Trust</t>
  </si>
  <si>
    <t>Birmingham Women's NHS Foundation Trust</t>
  </si>
  <si>
    <t xml:space="preserve">Cambridge University Hospitals NHS Foundation Trust (Addenbrooke's) </t>
  </si>
  <si>
    <t>Central Manchester University Hospitals NHS Foundation Trust</t>
  </si>
  <si>
    <t>Christie NHS Foundation Trust</t>
  </si>
  <si>
    <t>DDRC</t>
  </si>
  <si>
    <t>Great Ormond Street Hospital for Children NHS Foundation Trust</t>
  </si>
  <si>
    <t>Guy's and St Thomas' NHS Foundation Trust</t>
  </si>
  <si>
    <t>Heart of England NHS Foundation Trust</t>
  </si>
  <si>
    <t>Imperial College Healthcare NHS Trust</t>
  </si>
  <si>
    <t>King's College Hospital NHS Foundation Trust</t>
  </si>
  <si>
    <t>Leeds Teaching Hospitals NHS Trust</t>
  </si>
  <si>
    <t>Liverpool Heart and Chest Hospital NHS Foundation Trust</t>
  </si>
  <si>
    <t>Newcastle Upon Tyne Hospitals NHS Foundation Trust</t>
  </si>
  <si>
    <t>Papworth Hospital NHS Foundation Trust</t>
  </si>
  <si>
    <t>Robert Jones and Agnus Hunt Orthopaedic Hospital NHS Foundation Trust</t>
  </si>
  <si>
    <t>Royal Brompton &amp; Harefield NHS Foundation Trust</t>
  </si>
  <si>
    <t>Royal Free London NHS Foundation Trust (Hampstead)</t>
  </si>
  <si>
    <t>Royal Liverpool and Broadgreen University Hospitals NHS Trust</t>
  </si>
  <si>
    <t>Royal Liverpool and Broadgreen University Hospitals NHS Trust - Ocular Oncology</t>
  </si>
  <si>
    <t>Royal Marsden NHS Foundation Trust</t>
  </si>
  <si>
    <t>Royal Orthopaedic Hospital NHS Foundation Trust</t>
  </si>
  <si>
    <t>Salford Royal NHS Foundation Trust</t>
  </si>
  <si>
    <t>Sheffield Teaching Hospitals NHS Foundation Trust</t>
  </si>
  <si>
    <t>St Helen and Knowsley Teaching Hospitals NHS Trust</t>
  </si>
  <si>
    <t>University College London Hospitals NHS Foundation Trust</t>
  </si>
  <si>
    <t>University Hospital of South Manchester NHS Foundation Trust</t>
  </si>
  <si>
    <t>University Hospitals Birmingham NHS Foundation Trust</t>
  </si>
  <si>
    <t>University Hospitals Birmingham NHS Foundation Trust - Transplant</t>
  </si>
  <si>
    <t>University Hospitals Bristol NHS Foundation Trust</t>
  </si>
  <si>
    <t>University Hospitals of North Staffordshire NHS Trust</t>
  </si>
  <si>
    <t xml:space="preserve">Walton Centre NHS Foundation Trust </t>
  </si>
  <si>
    <t>Wye Valley NHS Trust (Hereford)</t>
  </si>
  <si>
    <t xml:space="preserve">National Organ Donation </t>
  </si>
  <si>
    <t>HCS Activity Project</t>
  </si>
  <si>
    <t>MH High Secure - Rampton</t>
  </si>
  <si>
    <t>MH High Secure - Ashworth</t>
  </si>
  <si>
    <t>MH High Secure - Other</t>
  </si>
  <si>
    <t>MH High Secure - Contract savings 13/14 and 14/15 (Ashworth only)</t>
  </si>
  <si>
    <t>MH High Secure - Contract savings 15/16 (Ashworth only)</t>
  </si>
  <si>
    <t>MH High Secure - Contract savings 16/17</t>
  </si>
  <si>
    <t>MH High Secure - Saving inverse of utilisation risk share</t>
  </si>
  <si>
    <t>Proton Beam Therapy</t>
  </si>
  <si>
    <t>Eculizumab</t>
  </si>
  <si>
    <t>Eculizumab (AHUS)</t>
  </si>
  <si>
    <t>ERT - Planned Switching &amp; Dosage Review Savings Scheme</t>
  </si>
  <si>
    <t>MS</t>
  </si>
  <si>
    <t>Other MH</t>
  </si>
  <si>
    <t>IVF (IPC)</t>
  </si>
  <si>
    <t>IVF (non-Wales) - activity moving back to Welsh contract for 14/15 as unit now open</t>
  </si>
  <si>
    <t>Return of Non Recurring Saving</t>
  </si>
  <si>
    <t>All Wales Growth in Dialysis Demand</t>
  </si>
  <si>
    <t>C&amp;V Dialysis ISP Inflation 2012/2013-2013/2014</t>
  </si>
  <si>
    <t xml:space="preserve">C&amp;V Dialysis Underperformance </t>
  </si>
  <si>
    <t>Renal IT Systems</t>
  </si>
  <si>
    <t xml:space="preserve">WAST Transport for Wirral LTA </t>
  </si>
  <si>
    <t>ABMU Dialyis Transport</t>
  </si>
  <si>
    <t xml:space="preserve">ABMU Vascular Access Nurse post </t>
  </si>
  <si>
    <t xml:space="preserve">BCU Dialysis Growth </t>
  </si>
  <si>
    <t>Dialysis Unit Capital Charges</t>
  </si>
  <si>
    <t>Permanent Dialysis Facility in Welshpool</t>
  </si>
  <si>
    <t xml:space="preserve">All Wales Growth in Transplant </t>
  </si>
  <si>
    <t>Cardiff and Vale Transplant Centre</t>
  </si>
  <si>
    <t>Cardiff and Vale Transplant-Underperformance</t>
  </si>
  <si>
    <t>WBS WTAIL Transplant Laboratory</t>
  </si>
  <si>
    <t>Cwm Taf Primary Care ESA recharge</t>
  </si>
  <si>
    <t>Powys Primary Care ESA recharge</t>
  </si>
  <si>
    <t>Hywel Dda Primary Care ESA recharge</t>
  </si>
  <si>
    <t>BCU ESA Contract Savings 2013/2014</t>
  </si>
  <si>
    <t>C&amp;V ESA Contract Savings 2013/14</t>
  </si>
  <si>
    <t>ABMU ESA Contract Savings 2013/14</t>
  </si>
  <si>
    <t>Aneurin Bevan Consultant Sessions</t>
  </si>
  <si>
    <t>C&amp;V Pharmacy Infrastructure</t>
  </si>
  <si>
    <t>West Wales Fresenius Independent Units</t>
  </si>
  <si>
    <t>Aberystwyth Development ( Padarn Surgery )</t>
  </si>
  <si>
    <t>WG required phasing adjustment for MMR purposes</t>
  </si>
  <si>
    <t xml:space="preserve">Renal </t>
  </si>
  <si>
    <t xml:space="preserve">Renal General </t>
  </si>
  <si>
    <t>PIC Retrieval in North Wales</t>
  </si>
  <si>
    <t>Ivacaftor - N Wales drugs</t>
  </si>
  <si>
    <t>15/16 Developments</t>
  </si>
  <si>
    <t>Planned Commissioned Growth in Bariatric Surgery (Salford) - JC agreed</t>
  </si>
  <si>
    <t>68-Gallium DOTA scanning</t>
  </si>
  <si>
    <t>Paediatric surgery RTT</t>
  </si>
  <si>
    <t>Radio Labelled Therapies</t>
  </si>
  <si>
    <t>NWIS data validation</t>
  </si>
  <si>
    <t>Flow Diversion - PEDS</t>
  </si>
  <si>
    <t>16/17 Developments</t>
  </si>
  <si>
    <t xml:space="preserve">Susoctocog - Haemophilia </t>
  </si>
  <si>
    <t>Growth in marginal activity associated with Thoracic surgery investment</t>
  </si>
  <si>
    <t>Posture and Mobility - ALAS (Wheelchairs)</t>
  </si>
  <si>
    <t>Growth in marginal activity associated with BMT investment</t>
  </si>
  <si>
    <t>PET CT new indications</t>
  </si>
  <si>
    <t xml:space="preserve">Cardiac ablation (AF and VT) - Expansion of EP services 
 </t>
  </si>
  <si>
    <t xml:space="preserve">Cardiac ablation (AF)  </t>
  </si>
  <si>
    <t>LVA evaluation</t>
  </si>
  <si>
    <t xml:space="preserve">Endobronchial Valve Replacement (EBVR) NICE IPG465
</t>
  </si>
  <si>
    <t xml:space="preserve">Neuropathology
 </t>
  </si>
  <si>
    <t xml:space="preserve">NICU
 </t>
  </si>
  <si>
    <t>Proton Beam Therapy - Child</t>
  </si>
  <si>
    <t>Proton Beam Therapy - TYP</t>
  </si>
  <si>
    <t xml:space="preserve">Paedriatric Cardiology Standards
</t>
  </si>
  <si>
    <t xml:space="preserve">CLP service
 </t>
  </si>
  <si>
    <t>Liver Outreach clinics - Delivery Plan Funded</t>
  </si>
  <si>
    <t>Ketogenic Diet - Invest to Save</t>
  </si>
  <si>
    <t>Perinatal Project (Non-recurring)</t>
  </si>
  <si>
    <t>Gender Project (Non-recurring)</t>
  </si>
  <si>
    <t>All Wales Population</t>
  </si>
  <si>
    <t>South Wales Population</t>
  </si>
  <si>
    <t>Table 2</t>
  </si>
  <si>
    <t>Underlying Deficit &amp; Growth</t>
  </si>
  <si>
    <t>Local referral Cardiology savings</t>
  </si>
  <si>
    <t xml:space="preserve">Local Savings AB &amp; Cwm Taf </t>
  </si>
  <si>
    <t>2018/19  Opening Allocation (as per Jan 18 income)</t>
  </si>
  <si>
    <t>M8 Forecast Performance (excluding English SLA's)</t>
  </si>
  <si>
    <t>English SLA's HRG4+ most prudent estimate</t>
  </si>
  <si>
    <t>M8 English SLA's adjusted forecast</t>
  </si>
  <si>
    <t>TAVI</t>
  </si>
  <si>
    <t>Developments - 17/18</t>
  </si>
  <si>
    <t xml:space="preserve">Dialysis Growth </t>
  </si>
  <si>
    <t>AAC</t>
  </si>
  <si>
    <t>Mental Health</t>
  </si>
  <si>
    <t>Prior Year Developments - to 16/17</t>
  </si>
  <si>
    <t>Elosulfase Alfa - VIMIZIM ERT (Ministerial ratification)</t>
  </si>
  <si>
    <t>ABMU FYE staff posts</t>
  </si>
  <si>
    <t>ABMU Dialysis ISP 16-17 contract over performance</t>
  </si>
  <si>
    <t>All Wales Dialysis Price Inflation  2017/18</t>
  </si>
  <si>
    <t xml:space="preserve">BCU Dialysis Staffing </t>
  </si>
  <si>
    <t>C&amp;V Psychology</t>
  </si>
  <si>
    <t xml:space="preserve">Shrewsbury and Telford Dialysis unit - Prior year </t>
  </si>
  <si>
    <t xml:space="preserve">WBS WTAIL Transplant Laboratory - Tissue Typing </t>
  </si>
  <si>
    <t>Ivacaftor in paeds age 2-5 years - (Assume New Treatment Fund Income)</t>
  </si>
  <si>
    <t>Ivacaftor R117H Mutation - New AWMSG recommendation ratified by WG</t>
  </si>
  <si>
    <t>Developments - 17/19</t>
  </si>
  <si>
    <t>AWBS Full Year savings year 2</t>
  </si>
  <si>
    <t xml:space="preserve">Spinal implants recommissioning </t>
  </si>
  <si>
    <t>Mental Health - Forensic case management</t>
  </si>
  <si>
    <t>New Cost Pressures / Growth in IPC</t>
  </si>
  <si>
    <t>VBC workstreams</t>
  </si>
  <si>
    <t>Full Year Effect of Prior Year Investments</t>
  </si>
  <si>
    <t xml:space="preserve">Abertawe Bro
Morgannwg
UHB
</t>
  </si>
  <si>
    <t xml:space="preserve">Aneurin Bevan
UHB
</t>
  </si>
  <si>
    <t xml:space="preserve">Betsi Cadwaladr
UHB
</t>
  </si>
  <si>
    <t xml:space="preserve">Cardiff &amp;
Vale
UHB
</t>
  </si>
  <si>
    <t xml:space="preserve">Powys
THB
</t>
  </si>
  <si>
    <t xml:space="preserve">Cwm
 Taf
UHB
</t>
  </si>
  <si>
    <t xml:space="preserve">Hywel
 Dda
UHB
</t>
  </si>
  <si>
    <t>2018/19
WHSSC 
Requirement</t>
  </si>
  <si>
    <t>HCS</t>
  </si>
  <si>
    <t>NWIS</t>
  </si>
  <si>
    <t>Reduction in CIP running costs</t>
  </si>
  <si>
    <t>England prudent forecast</t>
  </si>
  <si>
    <t>Clinical Immunology infrastructure</t>
  </si>
  <si>
    <t>BAHA &amp; Cochlear target 26 weeks RTT</t>
  </si>
  <si>
    <t>Horizon Scanning Evaluation</t>
  </si>
  <si>
    <t>Ceriliponase Alfa</t>
  </si>
  <si>
    <t xml:space="preserve">Other Potential approvals </t>
  </si>
  <si>
    <t>Afemalanotide</t>
  </si>
  <si>
    <t>Financial Framework- Growth Assessment:</t>
  </si>
  <si>
    <t>Table 7a</t>
  </si>
  <si>
    <t xml:space="preserve">Velindre </t>
  </si>
  <si>
    <t>Velindre High Cost Drugs &amp; NICE approvals</t>
  </si>
  <si>
    <t xml:space="preserve">Velindre Joint Commissioning group draft forecast </t>
  </si>
  <si>
    <t>2018-21 Financial Plan</t>
  </si>
  <si>
    <t>Value Based Commissioning Workstreams</t>
  </si>
  <si>
    <t>Value based Commissioninfg Workstreams</t>
  </si>
  <si>
    <t>PRRT Lutetium 177 - Phase 1 reduce overspend</t>
  </si>
  <si>
    <t>Phase 2 - Reduce baseline provision</t>
  </si>
  <si>
    <t>Royal Free</t>
  </si>
  <si>
    <t>266a</t>
  </si>
  <si>
    <t>Radio Labelled Therapies (Royal Liverpool &amp; Broadgreen)</t>
  </si>
  <si>
    <t>Adjustments for non-recurrent performance in 2017/18</t>
  </si>
  <si>
    <t>HPN (growth and new contract price)</t>
  </si>
  <si>
    <t>High Cost Drugs Horizon Scanning</t>
  </si>
  <si>
    <t>Binuria (ERT)</t>
  </si>
  <si>
    <t>New Commissioned Services</t>
  </si>
  <si>
    <t>Major Trauma</t>
  </si>
  <si>
    <t>Sickle Cell Anemia</t>
  </si>
  <si>
    <t>Inherited Bleedind Disorders (National Commissioning)</t>
  </si>
  <si>
    <t>Table 8</t>
  </si>
  <si>
    <t>2020/21</t>
  </si>
  <si>
    <t>Total Full year effect of Prior Year Developments</t>
  </si>
  <si>
    <t>INR New Devices</t>
  </si>
  <si>
    <t>Risk Shares from Month 8 16/17 tables</t>
  </si>
  <si>
    <t>16/17 Non recurrent writebacks</t>
  </si>
  <si>
    <t xml:space="preserve">Mandated High Cost drugs </t>
  </si>
  <si>
    <t>Table 7a &amp; b</t>
  </si>
  <si>
    <t>BCU PET</t>
  </si>
  <si>
    <t>LVA - Curing Lymphodema full cost</t>
  </si>
  <si>
    <t>Renal unavoidable growth &amp; inflation</t>
  </si>
  <si>
    <t>Dialysis growth</t>
  </si>
  <si>
    <t>Total Renal</t>
  </si>
  <si>
    <t>ISP contract inflation</t>
  </si>
  <si>
    <t>Porphyria</t>
  </si>
  <si>
    <t>P&amp;M - wheelchairs</t>
  </si>
  <si>
    <t>BPA for CTEPH</t>
  </si>
  <si>
    <t>MIMVS (first time surgery)</t>
  </si>
  <si>
    <t>CIAG Mean Score</t>
  </si>
  <si>
    <t>Cardiac ablation for AF &amp; VT (ABM)</t>
  </si>
  <si>
    <t>Cardiac ablation for AF &amp; VT (C&amp;V)</t>
  </si>
  <si>
    <t>Cleft lip and palate RTT</t>
  </si>
  <si>
    <t>IVF sustain 26 weeks RTT</t>
  </si>
  <si>
    <t>Neurosurgery RTT</t>
  </si>
  <si>
    <t>Cochlear and BAHA RTT (included in rollover)</t>
  </si>
  <si>
    <t>RTT Clinical Impact Schemes</t>
  </si>
  <si>
    <t>Clinical Impact Schemes score &lt; 20</t>
  </si>
  <si>
    <t>Treatments for GvHD</t>
  </si>
  <si>
    <t>Cystic fibrosis</t>
  </si>
  <si>
    <t>Cleft lip and palate</t>
  </si>
  <si>
    <t>BCU ALAS - war veterans</t>
  </si>
  <si>
    <t>Fetal medicine</t>
  </si>
  <si>
    <t>Spinal rehabilitation</t>
  </si>
  <si>
    <t>Additional PICU capacity</t>
  </si>
  <si>
    <t>Neuro rehabilitation</t>
  </si>
  <si>
    <t>NICU - ABM HDU capacity</t>
  </si>
  <si>
    <t>Neuroendocrine tumours</t>
  </si>
  <si>
    <t>PET capacity to achieve target rates</t>
  </si>
  <si>
    <t>P&amp;M - RTT BCU (included in 17/18 baseline)</t>
  </si>
  <si>
    <t>CIAG Schemes  - RTT Schemes</t>
  </si>
  <si>
    <t>CIAG Schemes  - Score &lt; 20</t>
  </si>
  <si>
    <t>% uplift required</t>
  </si>
  <si>
    <t>English Contracts</t>
  </si>
  <si>
    <t>Renal - Dialysis ISP Inflation</t>
  </si>
  <si>
    <t>18/19 English activity volume</t>
  </si>
  <si>
    <t>Clinical Impact Schemes</t>
  </si>
  <si>
    <t xml:space="preserve">Additional English Activity Growth 18/19 (indicative not included in WHSSC rollover provision) </t>
  </si>
  <si>
    <t>CIAG Schemes  - Score &gt; 20 + Exception Risks</t>
  </si>
  <si>
    <t>LVA (included in rollover baseline)</t>
  </si>
  <si>
    <t>WHSSC 2018-21 ICP Financial Summary (Excluding HRG4+ impact)</t>
  </si>
  <si>
    <t>% Uplift required for Rollover Baseline</t>
  </si>
  <si>
    <t>% Uplift required</t>
  </si>
  <si>
    <t>Requirement if funding schemes &gt; 20 + Risks + RTT</t>
  </si>
  <si>
    <t>Clinical Impact Schemes score &gt; 20 + Exceptional Risks</t>
  </si>
  <si>
    <t>Total English Activity Growth</t>
  </si>
  <si>
    <t>Brineura (ERT)</t>
  </si>
  <si>
    <t>Bevacizumab (V.S. in neurofibromatosis type 2)</t>
  </si>
  <si>
    <t>Growth as per year 2 + new indications</t>
  </si>
  <si>
    <t>PET new indications (in rollover baseline)</t>
  </si>
  <si>
    <t>2018/19 Total Commissioner Requirement</t>
  </si>
  <si>
    <t>2018/19 Commissioner Additional Requirement</t>
  </si>
  <si>
    <t>Residual risks not funded:</t>
  </si>
  <si>
    <t>WHSSC 2018-21 ICP Financial Summary including HRG4+ impact</t>
  </si>
  <si>
    <t xml:space="preserve"> </t>
  </si>
  <si>
    <t xml:space="preserve">Commissioner Contribution to 2% provider inflation </t>
  </si>
  <si>
    <t>2018/19 Total WHSSC Requirement</t>
  </si>
  <si>
    <t>% Uplift required (excluding inflation)</t>
  </si>
  <si>
    <t>EASC additional Investment + 2% inflation</t>
  </si>
  <si>
    <t>2018/19 Total WHSSC &amp; EASC Requirement</t>
  </si>
  <si>
    <t>Wales</t>
  </si>
  <si>
    <t>2% provider inflation</t>
  </si>
  <si>
    <t>2% inflation for welsh providers</t>
  </si>
  <si>
    <t>Welsh Inflation</t>
  </si>
  <si>
    <t>2018/19
EASC
Requirement</t>
  </si>
  <si>
    <t>17/18 Income as per WHSSC riskshare tables Jan 2018</t>
  </si>
  <si>
    <t>Disaggregate QAT</t>
  </si>
  <si>
    <t>Disaggregate EASC</t>
  </si>
  <si>
    <t>17/18 EASC/WAST income excluding QAT &amp; EASC running costs</t>
  </si>
  <si>
    <t>Remove ring fenced allocations within baseline:</t>
  </si>
  <si>
    <t>EASC clinical desk enhancements (£666k)</t>
  </si>
  <si>
    <t>17/18 WAST baseline for inflation</t>
  </si>
  <si>
    <t>Add back Ringfenced allocations:</t>
  </si>
  <si>
    <t>EASC clinical desk enhancements £0.622m</t>
  </si>
  <si>
    <t>Paramedic Banding Funding £3.577m</t>
  </si>
  <si>
    <t>Emergency Services Mobile Communications Programme Allocation</t>
  </si>
  <si>
    <t>Total Additional Investment through EASC</t>
  </si>
  <si>
    <t>Add back QAT and EASC running costs:</t>
  </si>
  <si>
    <t>Total 18/19 IMTP Provision for EASC/WAST/QAT</t>
  </si>
  <si>
    <t>2018/19 WHSSC Additional Requirement</t>
  </si>
  <si>
    <t>2018/19 Total WHSSC IMTP Provision</t>
  </si>
  <si>
    <t>Total 18/19 Combined EASC &amp; WAST Requirement</t>
  </si>
  <si>
    <t>PO</t>
  </si>
  <si>
    <t>All Wales MH Case Mgrs</t>
  </si>
  <si>
    <t>QAT</t>
  </si>
  <si>
    <t>QAT transfer to WHSSC DRC</t>
  </si>
  <si>
    <t>ALL Wales Pay Award Funding WG Allocation</t>
  </si>
  <si>
    <t>Transfer to QAT</t>
  </si>
  <si>
    <t>EASC Infrastructure / Running Costs</t>
  </si>
  <si>
    <t>EASC</t>
  </si>
  <si>
    <t>Additional Allocation EASC Accomodation</t>
  </si>
  <si>
    <t>Table 4</t>
  </si>
  <si>
    <t>Table 10</t>
  </si>
  <si>
    <t>Commisioner Split</t>
  </si>
  <si>
    <t>EASC/WAST/QAT provision</t>
  </si>
  <si>
    <t xml:space="preserve">Additional WHSSC &amp; EASC provision </t>
  </si>
  <si>
    <t>Clinical Immunology - AB 2016/17 Agreement (100% share)</t>
  </si>
  <si>
    <t>DTOC</t>
  </si>
  <si>
    <t>HEV Year 2 saving</t>
  </si>
  <si>
    <t xml:space="preserve">Genetics - New Schemes 17/18
 </t>
  </si>
  <si>
    <t>ABMU Home Dialysis Home Technical Services</t>
  </si>
  <si>
    <t>BCU Home Dialysis Contract HDF Hire</t>
  </si>
  <si>
    <t>BCU Home Dialysis Utilities Re-alignment</t>
  </si>
  <si>
    <t>C&amp;V FYE staff posts</t>
  </si>
  <si>
    <t>C&amp;V Pathology Merthyr Unit</t>
  </si>
  <si>
    <t>Cardiff and Vale Transplant Centre - Nursing</t>
  </si>
  <si>
    <t>LHB contribution into secondary care centre in Swansea</t>
  </si>
  <si>
    <t>WRCN FYE Staff Posts</t>
  </si>
  <si>
    <t>Total NRP 17/18</t>
  </si>
  <si>
    <t>M10 Reported Position (Excluding SLAs)</t>
  </si>
  <si>
    <t>M10 Reported English SLA adjusted position</t>
  </si>
  <si>
    <t>Restated M10 requirement before inflation</t>
  </si>
  <si>
    <t>M10 Forecast Performance (excluding English SLA's)</t>
  </si>
  <si>
    <t>ICDs</t>
  </si>
  <si>
    <t>THORACIC</t>
  </si>
  <si>
    <t>WAST Baseline &amp; Approved Strategic adjustment</t>
  </si>
  <si>
    <t>Depreciation:</t>
  </si>
  <si>
    <t>Control Room Solution (allocation to be issued in 18/19)</t>
  </si>
  <si>
    <t>Apply provider inflation 2%</t>
  </si>
  <si>
    <t>M10 English SLA forecast (excluding HRG4+ full impact)</t>
  </si>
  <si>
    <t>Adjustments for Non Recurrent Performance</t>
  </si>
  <si>
    <t>2018/19 Opening Allocation</t>
  </si>
  <si>
    <t>EASC &amp; QAT running costs</t>
  </si>
  <si>
    <t xml:space="preserve">February 2018 income </t>
  </si>
  <si>
    <t>Income Assumptions</t>
  </si>
  <si>
    <t>Opening Income 2018/19</t>
  </si>
  <si>
    <t>Angiography transfer to AB (non specialist)</t>
  </si>
  <si>
    <t>Opening Income April 2018</t>
  </si>
  <si>
    <t>English SLA's HRG4+ &amp; most prudent volume estimate</t>
  </si>
  <si>
    <t>February 2018 income as per riskshare tables</t>
  </si>
  <si>
    <t>Value based Commissioning Workstreams</t>
  </si>
  <si>
    <t>Total New NICE Mandated approvals</t>
  </si>
  <si>
    <t>Total Velindre drug growth</t>
  </si>
  <si>
    <t>tbc</t>
  </si>
  <si>
    <t>2018/19  Opening EASC Allocation</t>
  </si>
  <si>
    <t>WBS</t>
  </si>
  <si>
    <t>IBD Haemophilia framework saving</t>
  </si>
  <si>
    <t>Table 10 - EASC</t>
  </si>
  <si>
    <t>18/19 Requirement excluding QAT and EASC runnning costs</t>
  </si>
  <si>
    <t>2018/19 IMTP Provision for EASC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</si>
</sst>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\-* #,##0.00_-;_-* &quot;-&quot;??_-;_-@_-"/>
    <numFmt numFmtId="164" formatCode="_(* #,##0_);_(* \(#,##0\);_(* &quot;-&quot;??_);_(@_)"/>
    <numFmt numFmtId="165" formatCode="#,##0.000;\(#,##0.000\)"/>
    <numFmt numFmtId="166" formatCode="#,##0.000;[Red]\(#,##0.000\)"/>
    <numFmt numFmtId="167" formatCode="_(* #,##0.00_);_(* \(#,##0.00\);_(* &quot;-&quot;??_);_(@_)"/>
    <numFmt numFmtId="168" formatCode="_(* #,##0.000_);_(* \(#,##0.000\);_(* &quot;-&quot;??_);_(@_)"/>
    <numFmt numFmtId="169" formatCode="_-* #,##0.000_-;\-* #,##0.000_-;_-* &quot;-&quot;??_-;_-@_-"/>
    <numFmt numFmtId="170" formatCode="_-* #,##0_-;\-* #,##0_-;_-* &quot;-&quot;??_-;_-@_-"/>
    <numFmt numFmtId="171" formatCode="0.000"/>
    <numFmt numFmtId="172" formatCode="0.0%"/>
    <numFmt numFmtId="173" formatCode="0.000000"/>
    <numFmt numFmtId="174" formatCode="0.0000"/>
    <numFmt numFmtId="175" formatCode="#,##0.000000000000;[Red]#,##0.00000000000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u/>
      <sz val="2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10"/>
      <name val="Lucida Sans"/>
      <family val="2"/>
    </font>
    <font>
      <sz val="12"/>
      <name val="Arial"/>
      <family val="2"/>
    </font>
    <font>
      <sz val="10"/>
      <name val="Arial"/>
      <family val="2"/>
    </font>
    <font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color theme="0"/>
      <name val="Arial"/>
      <family val="2"/>
    </font>
    <font>
      <b/>
      <sz val="9"/>
      <name val="Arial"/>
      <family val="2"/>
    </font>
    <font>
      <sz val="11"/>
      <color theme="0"/>
      <name val="Calibri"/>
      <family val="2"/>
      <scheme val="minor"/>
    </font>
    <font>
      <sz val="10"/>
      <name val="Calibri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theme="1"/>
      <name val="Arial"/>
      <family val="2"/>
    </font>
    <font>
      <sz val="14"/>
      <color theme="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0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6"/>
      <color theme="1"/>
      <name val="Arial"/>
      <family val="2"/>
    </font>
    <font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lightGray">
        <fgColor auto="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</fills>
  <borders count="93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4" fillId="9" borderId="21" applyBorder="0" applyAlignment="0">
      <alignment horizontal="center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</cellStyleXfs>
  <cellXfs count="783">
    <xf numFmtId="0" fontId="0" fillId="0" borderId="0" xfId="0"/>
    <xf numFmtId="164" fontId="2" fillId="2" borderId="5" xfId="1" applyNumberFormat="1" applyFont="1" applyFill="1" applyBorder="1" applyAlignment="1">
      <alignment horizontal="center" vertical="center" wrapText="1"/>
    </xf>
    <xf numFmtId="164" fontId="4" fillId="0" borderId="0" xfId="3" applyNumberFormat="1" applyFont="1" applyAlignment="1">
      <alignment horizontal="center" vertical="center"/>
    </xf>
    <xf numFmtId="164" fontId="4" fillId="0" borderId="0" xfId="3" applyNumberFormat="1" applyFont="1" applyFill="1" applyAlignment="1">
      <alignment vertical="center"/>
    </xf>
    <xf numFmtId="164" fontId="4" fillId="0" borderId="0" xfId="3" applyNumberFormat="1" applyFont="1" applyAlignment="1">
      <alignment vertical="center"/>
    </xf>
    <xf numFmtId="164" fontId="4" fillId="0" borderId="0" xfId="3" applyNumberFormat="1" applyFont="1" applyAlignment="1">
      <alignment horizontal="center" vertical="center" wrapText="1"/>
    </xf>
    <xf numFmtId="168" fontId="4" fillId="0" borderId="0" xfId="3" applyNumberFormat="1" applyFont="1" applyAlignment="1">
      <alignment vertical="center"/>
    </xf>
    <xf numFmtId="167" fontId="6" fillId="0" borderId="0" xfId="3" applyNumberFormat="1" applyFont="1" applyAlignment="1">
      <alignment vertical="center"/>
    </xf>
    <xf numFmtId="0" fontId="4" fillId="0" borderId="0" xfId="3" applyNumberFormat="1" applyFont="1" applyAlignment="1">
      <alignment horizontal="center" vertical="center" wrapText="1"/>
    </xf>
    <xf numFmtId="0" fontId="4" fillId="0" borderId="0" xfId="3" applyNumberFormat="1" applyFont="1" applyAlignment="1">
      <alignment horizontal="left" vertical="center" wrapText="1"/>
    </xf>
    <xf numFmtId="164" fontId="5" fillId="4" borderId="0" xfId="3" quotePrefix="1" applyNumberFormat="1" applyFont="1" applyFill="1" applyAlignment="1">
      <alignment vertical="center"/>
    </xf>
    <xf numFmtId="164" fontId="5" fillId="0" borderId="0" xfId="3" applyNumberFormat="1" applyFont="1" applyAlignment="1">
      <alignment vertical="center"/>
    </xf>
    <xf numFmtId="164" fontId="7" fillId="0" borderId="0" xfId="3" applyNumberFormat="1" applyFont="1" applyAlignment="1">
      <alignment horizontal="center" vertical="center" wrapText="1"/>
    </xf>
    <xf numFmtId="164" fontId="7" fillId="4" borderId="0" xfId="3" applyNumberFormat="1" applyFont="1" applyFill="1" applyAlignment="1">
      <alignment horizontal="right" vertical="center"/>
    </xf>
    <xf numFmtId="164" fontId="8" fillId="4" borderId="0" xfId="3" applyNumberFormat="1" applyFont="1" applyFill="1" applyBorder="1"/>
    <xf numFmtId="164" fontId="9" fillId="0" borderId="0" xfId="3" applyNumberFormat="1" applyFont="1" applyAlignment="1">
      <alignment horizontal="right" vertical="center"/>
    </xf>
    <xf numFmtId="164" fontId="7" fillId="0" borderId="0" xfId="3" applyNumberFormat="1" applyFont="1" applyAlignment="1">
      <alignment horizontal="centerContinuous" vertical="center"/>
    </xf>
    <xf numFmtId="164" fontId="4" fillId="0" borderId="0" xfId="3" applyNumberFormat="1" applyFont="1" applyAlignment="1">
      <alignment horizontal="centerContinuous" vertical="center"/>
    </xf>
    <xf numFmtId="0" fontId="10" fillId="0" borderId="0" xfId="3" applyNumberFormat="1" applyFont="1" applyAlignment="1">
      <alignment horizontal="center" vertical="center" wrapText="1"/>
    </xf>
    <xf numFmtId="0" fontId="10" fillId="0" borderId="0" xfId="3" applyNumberFormat="1" applyFont="1" applyAlignment="1">
      <alignment horizontal="left" vertical="center" wrapText="1"/>
    </xf>
    <xf numFmtId="168" fontId="4" fillId="0" borderId="0" xfId="3" applyNumberFormat="1" applyFont="1" applyAlignment="1">
      <alignment horizontal="centerContinuous" vertical="center"/>
    </xf>
    <xf numFmtId="164" fontId="4" fillId="4" borderId="0" xfId="3" applyNumberFormat="1" applyFont="1" applyFill="1" applyBorder="1"/>
    <xf numFmtId="164" fontId="4" fillId="0" borderId="0" xfId="3" applyNumberFormat="1" applyFont="1" applyBorder="1" applyAlignment="1">
      <alignment horizontal="center" vertical="center" wrapText="1"/>
    </xf>
    <xf numFmtId="164" fontId="4" fillId="0" borderId="0" xfId="3" applyNumberFormat="1" applyFont="1" applyFill="1" applyBorder="1" applyAlignment="1">
      <alignment vertical="center"/>
    </xf>
    <xf numFmtId="168" fontId="4" fillId="0" borderId="0" xfId="3" applyNumberFormat="1" applyFont="1" applyFill="1" applyBorder="1" applyAlignment="1">
      <alignment vertical="center"/>
    </xf>
    <xf numFmtId="164" fontId="7" fillId="4" borderId="0" xfId="3" applyNumberFormat="1" applyFont="1" applyFill="1"/>
    <xf numFmtId="164" fontId="4" fillId="0" borderId="13" xfId="3" applyNumberFormat="1" applyFont="1" applyFill="1" applyBorder="1" applyAlignment="1">
      <alignment vertical="center"/>
    </xf>
    <xf numFmtId="168" fontId="4" fillId="0" borderId="13" xfId="3" applyNumberFormat="1" applyFont="1" applyFill="1" applyBorder="1" applyAlignment="1">
      <alignment vertical="center"/>
    </xf>
    <xf numFmtId="164" fontId="6" fillId="0" borderId="0" xfId="3" applyNumberFormat="1" applyFont="1" applyFill="1" applyBorder="1" applyAlignment="1">
      <alignment vertical="center"/>
    </xf>
    <xf numFmtId="168" fontId="6" fillId="5" borderId="14" xfId="3" applyNumberFormat="1" applyFont="1" applyFill="1" applyBorder="1" applyAlignment="1">
      <alignment horizontal="center" vertical="center"/>
    </xf>
    <xf numFmtId="165" fontId="6" fillId="5" borderId="14" xfId="3" applyNumberFormat="1" applyFont="1" applyFill="1" applyBorder="1" applyAlignment="1">
      <alignment horizontal="center" vertical="center"/>
    </xf>
    <xf numFmtId="0" fontId="6" fillId="2" borderId="15" xfId="3" applyNumberFormat="1" applyFont="1" applyFill="1" applyBorder="1" applyAlignment="1">
      <alignment horizontal="center" vertical="center" wrapText="1"/>
    </xf>
    <xf numFmtId="0" fontId="6" fillId="2" borderId="15" xfId="3" applyNumberFormat="1" applyFont="1" applyFill="1" applyBorder="1" applyAlignment="1">
      <alignment horizontal="left" vertical="center" wrapText="1"/>
    </xf>
    <xf numFmtId="164" fontId="6" fillId="2" borderId="16" xfId="3" applyNumberFormat="1" applyFont="1" applyFill="1" applyBorder="1" applyAlignment="1">
      <alignment horizontal="center" vertical="center"/>
    </xf>
    <xf numFmtId="164" fontId="6" fillId="2" borderId="17" xfId="3" applyNumberFormat="1" applyFont="1" applyFill="1" applyBorder="1" applyAlignment="1">
      <alignment horizontal="center" vertical="center"/>
    </xf>
    <xf numFmtId="164" fontId="6" fillId="2" borderId="1" xfId="3" applyNumberFormat="1" applyFont="1" applyFill="1" applyBorder="1" applyAlignment="1">
      <alignment horizontal="center" vertical="center"/>
    </xf>
    <xf numFmtId="168" fontId="6" fillId="2" borderId="17" xfId="3" applyNumberFormat="1" applyFont="1" applyFill="1" applyBorder="1" applyAlignment="1">
      <alignment horizontal="center" vertical="center"/>
    </xf>
    <xf numFmtId="168" fontId="6" fillId="5" borderId="17" xfId="3" quotePrefix="1" applyNumberFormat="1" applyFont="1" applyFill="1" applyBorder="1" applyAlignment="1">
      <alignment horizontal="center" vertical="center" wrapText="1"/>
    </xf>
    <xf numFmtId="165" fontId="6" fillId="5" borderId="17" xfId="3" quotePrefix="1" applyNumberFormat="1" applyFont="1" applyFill="1" applyBorder="1" applyAlignment="1">
      <alignment horizontal="center" vertical="center" wrapText="1"/>
    </xf>
    <xf numFmtId="0" fontId="6" fillId="2" borderId="16" xfId="3" applyNumberFormat="1" applyFont="1" applyFill="1" applyBorder="1" applyAlignment="1">
      <alignment horizontal="center" vertical="center" wrapText="1"/>
    </xf>
    <xf numFmtId="0" fontId="6" fillId="2" borderId="16" xfId="3" applyNumberFormat="1" applyFont="1" applyFill="1" applyBorder="1" applyAlignment="1">
      <alignment horizontal="left" vertical="center" wrapText="1"/>
    </xf>
    <xf numFmtId="168" fontId="6" fillId="5" borderId="18" xfId="3" applyNumberFormat="1" applyFont="1" applyFill="1" applyBorder="1" applyAlignment="1">
      <alignment horizontal="center" vertical="center"/>
    </xf>
    <xf numFmtId="165" fontId="6" fillId="5" borderId="18" xfId="3" applyNumberFormat="1" applyFont="1" applyFill="1" applyBorder="1" applyAlignment="1">
      <alignment horizontal="center" vertical="center"/>
    </xf>
    <xf numFmtId="0" fontId="6" fillId="2" borderId="19" xfId="3" applyNumberFormat="1" applyFont="1" applyFill="1" applyBorder="1" applyAlignment="1">
      <alignment horizontal="center" vertical="center" wrapText="1"/>
    </xf>
    <xf numFmtId="0" fontId="6" fillId="2" borderId="19" xfId="3" applyNumberFormat="1" applyFont="1" applyFill="1" applyBorder="1" applyAlignment="1">
      <alignment horizontal="left" vertical="center" wrapText="1"/>
    </xf>
    <xf numFmtId="164" fontId="6" fillId="2" borderId="19" xfId="3" applyNumberFormat="1" applyFont="1" applyFill="1" applyBorder="1" applyAlignment="1">
      <alignment horizontal="center" vertical="center"/>
    </xf>
    <xf numFmtId="164" fontId="6" fillId="2" borderId="18" xfId="3" applyNumberFormat="1" applyFont="1" applyFill="1" applyBorder="1" applyAlignment="1">
      <alignment horizontal="center" vertical="center"/>
    </xf>
    <xf numFmtId="164" fontId="6" fillId="2" borderId="6" xfId="3" applyNumberFormat="1" applyFont="1" applyFill="1" applyBorder="1" applyAlignment="1">
      <alignment horizontal="center" vertical="center"/>
    </xf>
    <xf numFmtId="168" fontId="6" fillId="2" borderId="18" xfId="3" applyNumberFormat="1" applyFont="1" applyFill="1" applyBorder="1" applyAlignment="1">
      <alignment horizontal="center" vertical="center"/>
    </xf>
    <xf numFmtId="168" fontId="6" fillId="0" borderId="22" xfId="3" applyNumberFormat="1" applyFont="1" applyFill="1" applyBorder="1" applyAlignment="1">
      <alignment vertical="center"/>
    </xf>
    <xf numFmtId="168" fontId="4" fillId="0" borderId="21" xfId="3" applyNumberFormat="1" applyFont="1" applyFill="1" applyBorder="1" applyAlignment="1">
      <alignment vertical="center"/>
    </xf>
    <xf numFmtId="0" fontId="4" fillId="0" borderId="21" xfId="3" applyNumberFormat="1" applyFont="1" applyFill="1" applyBorder="1" applyAlignment="1">
      <alignment horizontal="center" vertical="center" wrapText="1"/>
    </xf>
    <xf numFmtId="168" fontId="3" fillId="6" borderId="23" xfId="3" applyNumberFormat="1" applyFont="1" applyFill="1" applyBorder="1" applyAlignment="1">
      <alignment vertical="center"/>
    </xf>
    <xf numFmtId="164" fontId="4" fillId="0" borderId="24" xfId="3" applyNumberFormat="1" applyFont="1" applyFill="1" applyBorder="1" applyAlignment="1">
      <alignment vertical="center"/>
    </xf>
    <xf numFmtId="164" fontId="4" fillId="0" borderId="22" xfId="3" applyNumberFormat="1" applyFont="1" applyFill="1" applyBorder="1" applyAlignment="1">
      <alignment vertical="center"/>
    </xf>
    <xf numFmtId="164" fontId="4" fillId="0" borderId="22" xfId="3" applyNumberFormat="1" applyFont="1" applyFill="1" applyBorder="1" applyAlignment="1">
      <alignment horizontal="center" vertical="center" wrapText="1"/>
    </xf>
    <xf numFmtId="168" fontId="4" fillId="0" borderId="22" xfId="3" applyNumberFormat="1" applyFont="1" applyFill="1" applyBorder="1" applyAlignment="1">
      <alignment vertical="center"/>
    </xf>
    <xf numFmtId="0" fontId="4" fillId="0" borderId="22" xfId="3" applyNumberFormat="1" applyFont="1" applyFill="1" applyBorder="1" applyAlignment="1">
      <alignment horizontal="center" vertical="center" wrapText="1"/>
    </xf>
    <xf numFmtId="0" fontId="6" fillId="0" borderId="0" xfId="4" applyFont="1" applyFill="1" applyBorder="1" applyAlignment="1">
      <alignment horizontal="center" vertical="center"/>
    </xf>
    <xf numFmtId="0" fontId="6" fillId="0" borderId="25" xfId="4" applyFont="1" applyFill="1" applyBorder="1" applyAlignment="1">
      <alignment vertical="center"/>
    </xf>
    <xf numFmtId="168" fontId="6" fillId="0" borderId="28" xfId="3" applyNumberFormat="1" applyFont="1" applyFill="1" applyBorder="1" applyAlignment="1">
      <alignment vertical="center"/>
    </xf>
    <xf numFmtId="164" fontId="6" fillId="0" borderId="0" xfId="3" applyNumberFormat="1" applyFont="1" applyFill="1" applyAlignment="1">
      <alignment vertical="center"/>
    </xf>
    <xf numFmtId="164" fontId="6" fillId="0" borderId="0" xfId="3" applyNumberFormat="1" applyFont="1" applyAlignment="1">
      <alignment horizontal="center" vertical="center" wrapText="1"/>
    </xf>
    <xf numFmtId="164" fontId="9" fillId="0" borderId="0" xfId="3" applyNumberFormat="1" applyFont="1" applyFill="1" applyBorder="1" applyAlignment="1">
      <alignment vertical="center"/>
    </xf>
    <xf numFmtId="164" fontId="4" fillId="5" borderId="15" xfId="3" applyNumberFormat="1" applyFont="1" applyFill="1" applyBorder="1" applyAlignment="1">
      <alignment horizontal="center" vertical="center"/>
    </xf>
    <xf numFmtId="164" fontId="4" fillId="5" borderId="15" xfId="3" applyNumberFormat="1" applyFont="1" applyFill="1" applyBorder="1" applyAlignment="1">
      <alignment vertical="center"/>
    </xf>
    <xf numFmtId="164" fontId="6" fillId="5" borderId="29" xfId="3" applyNumberFormat="1" applyFont="1" applyFill="1" applyBorder="1" applyAlignment="1">
      <alignment vertical="center"/>
    </xf>
    <xf numFmtId="164" fontId="4" fillId="5" borderId="14" xfId="3" applyNumberFormat="1" applyFont="1" applyFill="1" applyBorder="1" applyAlignment="1">
      <alignment horizontal="center" vertical="center" wrapText="1"/>
    </xf>
    <xf numFmtId="164" fontId="6" fillId="2" borderId="15" xfId="3" applyNumberFormat="1" applyFont="1" applyFill="1" applyBorder="1" applyAlignment="1">
      <alignment horizontal="center" vertical="center"/>
    </xf>
    <xf numFmtId="164" fontId="6" fillId="2" borderId="14" xfId="3" applyNumberFormat="1" applyFont="1" applyFill="1" applyBorder="1" applyAlignment="1">
      <alignment horizontal="center" vertical="center"/>
    </xf>
    <xf numFmtId="164" fontId="6" fillId="2" borderId="29" xfId="3" applyNumberFormat="1" applyFont="1" applyFill="1" applyBorder="1" applyAlignment="1">
      <alignment horizontal="center" vertical="center"/>
    </xf>
    <xf numFmtId="168" fontId="6" fillId="2" borderId="14" xfId="3" applyNumberFormat="1" applyFont="1" applyFill="1" applyBorder="1" applyAlignment="1">
      <alignment horizontal="center" vertical="center"/>
    </xf>
    <xf numFmtId="164" fontId="6" fillId="5" borderId="16" xfId="3" applyNumberFormat="1" applyFont="1" applyFill="1" applyBorder="1" applyAlignment="1">
      <alignment horizontal="center" vertical="center"/>
    </xf>
    <xf numFmtId="164" fontId="6" fillId="5" borderId="16" xfId="3" applyNumberFormat="1" applyFont="1" applyFill="1" applyBorder="1" applyAlignment="1">
      <alignment vertical="center"/>
    </xf>
    <xf numFmtId="164" fontId="6" fillId="5" borderId="1" xfId="3" applyNumberFormat="1" applyFont="1" applyFill="1" applyBorder="1" applyAlignment="1">
      <alignment vertical="center"/>
    </xf>
    <xf numFmtId="164" fontId="6" fillId="5" borderId="19" xfId="3" applyNumberFormat="1" applyFont="1" applyFill="1" applyBorder="1" applyAlignment="1">
      <alignment horizontal="center" vertical="center"/>
    </xf>
    <xf numFmtId="164" fontId="6" fillId="5" borderId="6" xfId="3" applyNumberFormat="1" applyFont="1" applyFill="1" applyBorder="1" applyAlignment="1">
      <alignment horizontal="center" vertical="center"/>
    </xf>
    <xf numFmtId="164" fontId="6" fillId="5" borderId="18" xfId="3" applyNumberFormat="1" applyFont="1" applyFill="1" applyBorder="1" applyAlignment="1">
      <alignment horizontal="center" vertical="center" wrapText="1"/>
    </xf>
    <xf numFmtId="164" fontId="4" fillId="0" borderId="21" xfId="3" applyNumberFormat="1" applyFont="1" applyFill="1" applyBorder="1"/>
    <xf numFmtId="0" fontId="4" fillId="0" borderId="22" xfId="3" applyNumberFormat="1" applyFont="1" applyFill="1" applyBorder="1" applyAlignment="1">
      <alignment horizontal="left" wrapText="1"/>
    </xf>
    <xf numFmtId="164" fontId="4" fillId="0" borderId="22" xfId="3" applyNumberFormat="1" applyFont="1" applyFill="1" applyBorder="1" applyAlignment="1">
      <alignment horizontal="center" vertical="center"/>
    </xf>
    <xf numFmtId="0" fontId="6" fillId="0" borderId="25" xfId="4" applyFont="1" applyFill="1" applyBorder="1" applyAlignment="1">
      <alignment horizontal="center" vertical="center"/>
    </xf>
    <xf numFmtId="164" fontId="4" fillId="0" borderId="0" xfId="3" applyNumberFormat="1" applyFont="1" applyFill="1" applyBorder="1" applyAlignment="1">
      <alignment vertical="center" wrapText="1"/>
    </xf>
    <xf numFmtId="167" fontId="4" fillId="0" borderId="0" xfId="3" applyNumberFormat="1" applyFont="1" applyFill="1" applyAlignment="1">
      <alignment vertical="center"/>
    </xf>
    <xf numFmtId="164" fontId="4" fillId="0" borderId="24" xfId="3" applyNumberFormat="1" applyFont="1" applyFill="1" applyBorder="1" applyAlignment="1">
      <alignment horizontal="center" vertical="center"/>
    </xf>
    <xf numFmtId="168" fontId="6" fillId="6" borderId="22" xfId="3" applyNumberFormat="1" applyFont="1" applyFill="1" applyBorder="1"/>
    <xf numFmtId="164" fontId="6" fillId="0" borderId="27" xfId="3" applyNumberFormat="1" applyFont="1" applyFill="1" applyBorder="1" applyAlignment="1">
      <alignment vertical="center"/>
    </xf>
    <xf numFmtId="164" fontId="4" fillId="0" borderId="28" xfId="3" applyNumberFormat="1" applyFont="1" applyFill="1" applyBorder="1" applyAlignment="1">
      <alignment horizontal="center" vertical="center" wrapText="1"/>
    </xf>
    <xf numFmtId="0" fontId="4" fillId="0" borderId="28" xfId="3" applyNumberFormat="1" applyFont="1" applyBorder="1" applyAlignment="1">
      <alignment horizontal="center" vertical="center" wrapText="1"/>
    </xf>
    <xf numFmtId="0" fontId="4" fillId="0" borderId="28" xfId="3" applyNumberFormat="1" applyFont="1" applyBorder="1" applyAlignment="1">
      <alignment horizontal="left" vertical="center" wrapText="1"/>
    </xf>
    <xf numFmtId="164" fontId="4" fillId="0" borderId="0" xfId="3" applyNumberFormat="1" applyFont="1" applyFill="1" applyBorder="1" applyAlignment="1">
      <alignment horizontal="center" vertical="center" wrapText="1"/>
    </xf>
    <xf numFmtId="168" fontId="6" fillId="0" borderId="0" xfId="3" applyNumberFormat="1" applyFont="1" applyFill="1" applyBorder="1" applyAlignment="1">
      <alignment vertical="center"/>
    </xf>
    <xf numFmtId="0" fontId="4" fillId="0" borderId="22" xfId="3" applyNumberFormat="1" applyFont="1" applyFill="1" applyBorder="1" applyAlignment="1">
      <alignment horizontal="left"/>
    </xf>
    <xf numFmtId="168" fontId="4" fillId="0" borderId="17" xfId="3" applyNumberFormat="1" applyFont="1" applyFill="1" applyBorder="1" applyAlignment="1">
      <alignment vertical="center"/>
    </xf>
    <xf numFmtId="0" fontId="4" fillId="0" borderId="17" xfId="3" applyNumberFormat="1" applyFont="1" applyFill="1" applyBorder="1" applyAlignment="1">
      <alignment horizontal="center" vertical="center" wrapText="1"/>
    </xf>
    <xf numFmtId="168" fontId="6" fillId="0" borderId="17" xfId="3" applyNumberFormat="1" applyFont="1" applyFill="1" applyBorder="1" applyAlignment="1">
      <alignment vertical="center"/>
    </xf>
    <xf numFmtId="0" fontId="4" fillId="0" borderId="0" xfId="3" applyNumberFormat="1" applyFont="1" applyBorder="1" applyAlignment="1">
      <alignment horizontal="center" vertical="center" wrapText="1"/>
    </xf>
    <xf numFmtId="0" fontId="4" fillId="0" borderId="0" xfId="3" applyNumberFormat="1" applyFont="1" applyBorder="1" applyAlignment="1">
      <alignment horizontal="left" vertical="center" wrapText="1"/>
    </xf>
    <xf numFmtId="164" fontId="4" fillId="0" borderId="17" xfId="6" applyNumberFormat="1" applyFont="1" applyFill="1" applyBorder="1" applyAlignment="1">
      <alignment horizontal="left" vertical="center" wrapText="1"/>
    </xf>
    <xf numFmtId="164" fontId="4" fillId="0" borderId="16" xfId="3" applyNumberFormat="1" applyFont="1" applyFill="1" applyBorder="1" applyAlignment="1">
      <alignment horizontal="center" vertical="center"/>
    </xf>
    <xf numFmtId="164" fontId="4" fillId="0" borderId="17" xfId="6" applyNumberFormat="1" applyFont="1" applyFill="1" applyBorder="1" applyAlignment="1">
      <alignment vertical="center"/>
    </xf>
    <xf numFmtId="164" fontId="4" fillId="0" borderId="22" xfId="3" applyNumberFormat="1" applyFont="1" applyFill="1" applyBorder="1" applyAlignment="1">
      <alignment vertical="center" wrapText="1"/>
    </xf>
    <xf numFmtId="164" fontId="6" fillId="0" borderId="25" xfId="3" applyNumberFormat="1" applyFont="1" applyFill="1" applyBorder="1" applyAlignment="1">
      <alignment vertical="center"/>
    </xf>
    <xf numFmtId="164" fontId="4" fillId="0" borderId="0" xfId="3" applyNumberFormat="1" applyFont="1" applyFill="1" applyAlignment="1">
      <alignment horizontal="center" vertical="center" wrapText="1"/>
    </xf>
    <xf numFmtId="164" fontId="6" fillId="5" borderId="18" xfId="3" applyNumberFormat="1" applyFont="1" applyFill="1" applyBorder="1" applyAlignment="1">
      <alignment horizontal="left" vertical="center" wrapText="1"/>
    </xf>
    <xf numFmtId="164" fontId="4" fillId="0" borderId="18" xfId="3" applyNumberFormat="1" applyFont="1" applyFill="1" applyBorder="1" applyAlignment="1">
      <alignment horizontal="center"/>
    </xf>
    <xf numFmtId="168" fontId="4" fillId="0" borderId="22" xfId="3" applyNumberFormat="1" applyFont="1" applyFill="1" applyBorder="1" applyAlignment="1">
      <alignment horizontal="center"/>
    </xf>
    <xf numFmtId="164" fontId="4" fillId="0" borderId="17" xfId="3" applyNumberFormat="1" applyFont="1" applyFill="1" applyBorder="1"/>
    <xf numFmtId="168" fontId="4" fillId="0" borderId="21" xfId="3" applyNumberFormat="1" applyFont="1" applyFill="1" applyBorder="1" applyAlignment="1">
      <alignment horizontal="center"/>
    </xf>
    <xf numFmtId="164" fontId="4" fillId="0" borderId="31" xfId="3" applyNumberFormat="1" applyFont="1" applyFill="1" applyBorder="1" applyAlignment="1">
      <alignment vertical="center"/>
    </xf>
    <xf numFmtId="168" fontId="4" fillId="0" borderId="23" xfId="3" applyNumberFormat="1" applyFont="1" applyFill="1" applyBorder="1" applyAlignment="1">
      <alignment vertical="center"/>
    </xf>
    <xf numFmtId="164" fontId="4" fillId="0" borderId="22" xfId="3" applyNumberFormat="1" applyFont="1" applyFill="1" applyBorder="1" applyAlignment="1">
      <alignment horizontal="left" vertical="center"/>
    </xf>
    <xf numFmtId="164" fontId="6" fillId="5" borderId="16" xfId="3" applyNumberFormat="1" applyFont="1" applyFill="1" applyBorder="1" applyAlignment="1">
      <alignment horizontal="center" vertical="center" wrapText="1"/>
    </xf>
    <xf numFmtId="164" fontId="4" fillId="0" borderId="22" xfId="3" applyNumberFormat="1" applyFont="1" applyFill="1" applyBorder="1" applyAlignment="1">
      <alignment horizontal="left" vertical="center" wrapText="1"/>
    </xf>
    <xf numFmtId="0" fontId="4" fillId="0" borderId="28" xfId="4" applyFont="1" applyFill="1" applyBorder="1" applyAlignment="1">
      <alignment vertical="center"/>
    </xf>
    <xf numFmtId="0" fontId="6" fillId="0" borderId="26" xfId="4" applyFont="1" applyFill="1" applyBorder="1" applyAlignment="1">
      <alignment vertical="center" wrapText="1"/>
    </xf>
    <xf numFmtId="170" fontId="4" fillId="0" borderId="28" xfId="3" applyNumberFormat="1" applyFont="1" applyFill="1" applyBorder="1" applyAlignment="1">
      <alignment horizontal="center" vertical="center"/>
    </xf>
    <xf numFmtId="0" fontId="0" fillId="0" borderId="17" xfId="0" applyBorder="1"/>
    <xf numFmtId="164" fontId="4" fillId="10" borderId="0" xfId="3" applyNumberFormat="1" applyFont="1" applyFill="1" applyAlignment="1">
      <alignment vertical="center"/>
    </xf>
    <xf numFmtId="164" fontId="6" fillId="5" borderId="19" xfId="3" applyNumberFormat="1" applyFont="1" applyFill="1" applyBorder="1" applyAlignment="1">
      <alignment horizontal="center" vertical="center" wrapText="1"/>
    </xf>
    <xf numFmtId="164" fontId="4" fillId="5" borderId="15" xfId="3" applyNumberFormat="1" applyFont="1" applyFill="1" applyBorder="1" applyAlignment="1">
      <alignment horizontal="center" vertical="center" wrapText="1"/>
    </xf>
    <xf numFmtId="164" fontId="4" fillId="0" borderId="25" xfId="3" applyNumberFormat="1" applyFont="1" applyFill="1" applyBorder="1" applyAlignment="1">
      <alignment horizontal="center" vertical="center" wrapText="1"/>
    </xf>
    <xf numFmtId="10" fontId="0" fillId="0" borderId="0" xfId="2" applyNumberFormat="1" applyFont="1"/>
    <xf numFmtId="164" fontId="4" fillId="0" borderId="17" xfId="3" applyNumberFormat="1" applyFont="1" applyFill="1" applyBorder="1" applyAlignment="1">
      <alignment horizontal="center" vertical="center" wrapText="1"/>
    </xf>
    <xf numFmtId="0" fontId="4" fillId="0" borderId="17" xfId="3" applyNumberFormat="1" applyFont="1" applyFill="1" applyBorder="1" applyAlignment="1">
      <alignment horizontal="left" wrapText="1"/>
    </xf>
    <xf numFmtId="164" fontId="4" fillId="0" borderId="20" xfId="3" applyNumberFormat="1" applyFont="1" applyFill="1" applyBorder="1" applyAlignment="1">
      <alignment horizontal="left"/>
    </xf>
    <xf numFmtId="168" fontId="6" fillId="5" borderId="17" xfId="3" applyNumberFormat="1" applyFont="1" applyFill="1" applyBorder="1" applyAlignment="1">
      <alignment horizontal="center" vertical="center"/>
    </xf>
    <xf numFmtId="164" fontId="4" fillId="0" borderId="0" xfId="3" applyNumberFormat="1" applyFont="1" applyFill="1" applyBorder="1" applyAlignment="1">
      <alignment horizontal="left"/>
    </xf>
    <xf numFmtId="164" fontId="4" fillId="0" borderId="6" xfId="3" applyNumberFormat="1" applyFont="1" applyFill="1" applyBorder="1" applyAlignment="1">
      <alignment horizontal="center"/>
    </xf>
    <xf numFmtId="164" fontId="17" fillId="6" borderId="22" xfId="3" applyNumberFormat="1" applyFont="1" applyFill="1" applyBorder="1" applyAlignment="1"/>
    <xf numFmtId="0" fontId="0" fillId="6" borderId="0" xfId="0" applyFill="1"/>
    <xf numFmtId="164" fontId="6" fillId="5" borderId="1" xfId="3" applyNumberFormat="1" applyFont="1" applyFill="1" applyBorder="1" applyAlignment="1">
      <alignment horizontal="center" vertical="center"/>
    </xf>
    <xf numFmtId="167" fontId="2" fillId="0" borderId="0" xfId="3" applyNumberFormat="1" applyFont="1" applyAlignment="1">
      <alignment vertical="center"/>
    </xf>
    <xf numFmtId="168" fontId="3" fillId="6" borderId="22" xfId="3" applyNumberFormat="1" applyFont="1" applyFill="1" applyBorder="1" applyAlignment="1">
      <alignment vertical="center"/>
    </xf>
    <xf numFmtId="167" fontId="2" fillId="6" borderId="0" xfId="3" applyNumberFormat="1" applyFont="1" applyFill="1" applyAlignment="1">
      <alignment vertical="center"/>
    </xf>
    <xf numFmtId="0" fontId="3" fillId="6" borderId="17" xfId="3" applyNumberFormat="1" applyFont="1" applyFill="1" applyBorder="1" applyAlignment="1">
      <alignment horizontal="center" vertical="center" wrapText="1"/>
    </xf>
    <xf numFmtId="0" fontId="3" fillId="6" borderId="22" xfId="3" applyNumberFormat="1" applyFont="1" applyFill="1" applyBorder="1" applyAlignment="1">
      <alignment horizontal="left" wrapText="1"/>
    </xf>
    <xf numFmtId="168" fontId="2" fillId="6" borderId="22" xfId="3" applyNumberFormat="1" applyFont="1" applyFill="1" applyBorder="1"/>
    <xf numFmtId="0" fontId="3" fillId="6" borderId="22" xfId="3" applyNumberFormat="1" applyFont="1" applyFill="1" applyBorder="1" applyAlignment="1">
      <alignment horizontal="center" vertical="center" wrapText="1"/>
    </xf>
    <xf numFmtId="0" fontId="3" fillId="6" borderId="23" xfId="3" applyNumberFormat="1" applyFont="1" applyFill="1" applyBorder="1" applyAlignment="1">
      <alignment horizontal="center" vertical="center" wrapText="1"/>
    </xf>
    <xf numFmtId="0" fontId="3" fillId="6" borderId="23" xfId="3" applyNumberFormat="1" applyFont="1" applyFill="1" applyBorder="1" applyAlignment="1">
      <alignment horizontal="left" wrapText="1"/>
    </xf>
    <xf numFmtId="0" fontId="3" fillId="6" borderId="22" xfId="3" applyNumberFormat="1" applyFont="1" applyFill="1" applyBorder="1" applyAlignment="1">
      <alignment horizontal="left"/>
    </xf>
    <xf numFmtId="0" fontId="3" fillId="6" borderId="31" xfId="3" applyNumberFormat="1" applyFont="1" applyFill="1" applyBorder="1" applyAlignment="1">
      <alignment horizontal="center" vertical="center" wrapText="1"/>
    </xf>
    <xf numFmtId="0" fontId="2" fillId="6" borderId="28" xfId="10" applyFont="1" applyFill="1" applyBorder="1" applyAlignment="1">
      <alignment vertical="center"/>
    </xf>
    <xf numFmtId="0" fontId="2" fillId="6" borderId="28" xfId="10" applyFont="1" applyFill="1" applyBorder="1" applyAlignment="1">
      <alignment vertical="center" wrapText="1"/>
    </xf>
    <xf numFmtId="168" fontId="2" fillId="6" borderId="28" xfId="3" applyNumberFormat="1" applyFont="1" applyFill="1" applyBorder="1" applyAlignment="1">
      <alignment vertical="center"/>
    </xf>
    <xf numFmtId="164" fontId="20" fillId="2" borderId="14" xfId="3" applyNumberFormat="1" applyFont="1" applyFill="1" applyBorder="1" applyAlignment="1">
      <alignment horizontal="center" vertical="center"/>
    </xf>
    <xf numFmtId="164" fontId="20" fillId="2" borderId="17" xfId="3" applyNumberFormat="1" applyFont="1" applyFill="1" applyBorder="1" applyAlignment="1">
      <alignment horizontal="center" vertical="center"/>
    </xf>
    <xf numFmtId="164" fontId="2" fillId="5" borderId="14" xfId="3" applyNumberFormat="1" applyFont="1" applyFill="1" applyBorder="1" applyAlignment="1">
      <alignment vertical="center"/>
    </xf>
    <xf numFmtId="164" fontId="3" fillId="5" borderId="14" xfId="3" applyNumberFormat="1" applyFont="1" applyFill="1" applyBorder="1" applyAlignment="1">
      <alignment vertical="center"/>
    </xf>
    <xf numFmtId="168" fontId="2" fillId="5" borderId="14" xfId="3" applyNumberFormat="1" applyFont="1" applyFill="1" applyBorder="1" applyAlignment="1">
      <alignment horizontal="center" vertical="center"/>
    </xf>
    <xf numFmtId="165" fontId="2" fillId="5" borderId="14" xfId="3" applyNumberFormat="1" applyFont="1" applyFill="1" applyBorder="1" applyAlignment="1">
      <alignment horizontal="center" vertical="center"/>
    </xf>
    <xf numFmtId="0" fontId="2" fillId="2" borderId="15" xfId="3" applyNumberFormat="1" applyFont="1" applyFill="1" applyBorder="1" applyAlignment="1">
      <alignment horizontal="center" vertical="center" wrapText="1"/>
    </xf>
    <xf numFmtId="164" fontId="2" fillId="2" borderId="15" xfId="3" applyNumberFormat="1" applyFont="1" applyFill="1" applyBorder="1" applyAlignment="1">
      <alignment horizontal="center" vertical="center"/>
    </xf>
    <xf numFmtId="164" fontId="2" fillId="2" borderId="14" xfId="3" applyNumberFormat="1" applyFont="1" applyFill="1" applyBorder="1" applyAlignment="1">
      <alignment horizontal="center" vertical="center"/>
    </xf>
    <xf numFmtId="164" fontId="2" fillId="2" borderId="29" xfId="3" applyNumberFormat="1" applyFont="1" applyFill="1" applyBorder="1" applyAlignment="1">
      <alignment horizontal="center" vertical="center"/>
    </xf>
    <xf numFmtId="164" fontId="2" fillId="5" borderId="17" xfId="3" applyNumberFormat="1" applyFont="1" applyFill="1" applyBorder="1" applyAlignment="1">
      <alignment vertical="center"/>
    </xf>
    <xf numFmtId="0" fontId="2" fillId="2" borderId="16" xfId="3" applyNumberFormat="1" applyFont="1" applyFill="1" applyBorder="1" applyAlignment="1">
      <alignment horizontal="center" vertical="center" wrapText="1"/>
    </xf>
    <xf numFmtId="164" fontId="2" fillId="2" borderId="16" xfId="3" applyNumberFormat="1" applyFont="1" applyFill="1" applyBorder="1" applyAlignment="1">
      <alignment horizontal="center" vertical="center"/>
    </xf>
    <xf numFmtId="164" fontId="2" fillId="2" borderId="17" xfId="3" applyNumberFormat="1" applyFont="1" applyFill="1" applyBorder="1" applyAlignment="1">
      <alignment horizontal="center" vertical="center"/>
    </xf>
    <xf numFmtId="164" fontId="2" fillId="2" borderId="1" xfId="3" applyNumberFormat="1" applyFont="1" applyFill="1" applyBorder="1" applyAlignment="1">
      <alignment horizontal="center" vertical="center"/>
    </xf>
    <xf numFmtId="164" fontId="2" fillId="5" borderId="17" xfId="3" applyNumberFormat="1" applyFont="1" applyFill="1" applyBorder="1" applyAlignment="1">
      <alignment horizontal="center" vertical="center"/>
    </xf>
    <xf numFmtId="168" fontId="2" fillId="5" borderId="17" xfId="3" applyNumberFormat="1" applyFont="1" applyFill="1" applyBorder="1" applyAlignment="1">
      <alignment horizontal="center" vertical="center"/>
    </xf>
    <xf numFmtId="165" fontId="2" fillId="5" borderId="17" xfId="3" applyNumberFormat="1" applyFont="1" applyFill="1" applyBorder="1" applyAlignment="1">
      <alignment horizontal="center" vertical="center"/>
    </xf>
    <xf numFmtId="0" fontId="2" fillId="2" borderId="19" xfId="3" applyNumberFormat="1" applyFont="1" applyFill="1" applyBorder="1" applyAlignment="1">
      <alignment horizontal="center" vertical="center" wrapText="1"/>
    </xf>
    <xf numFmtId="164" fontId="2" fillId="2" borderId="19" xfId="3" applyNumberFormat="1" applyFont="1" applyFill="1" applyBorder="1" applyAlignment="1">
      <alignment horizontal="center" vertical="center"/>
    </xf>
    <xf numFmtId="164" fontId="2" fillId="2" borderId="18" xfId="3" applyNumberFormat="1" applyFont="1" applyFill="1" applyBorder="1" applyAlignment="1">
      <alignment horizontal="center" vertical="center"/>
    </xf>
    <xf numFmtId="164" fontId="2" fillId="2" borderId="6" xfId="3" applyNumberFormat="1" applyFont="1" applyFill="1" applyBorder="1" applyAlignment="1">
      <alignment horizontal="center" vertical="center"/>
    </xf>
    <xf numFmtId="164" fontId="3" fillId="6" borderId="22" xfId="3" applyNumberFormat="1" applyFont="1" applyFill="1" applyBorder="1" applyAlignment="1">
      <alignment vertical="center"/>
    </xf>
    <xf numFmtId="164" fontId="4" fillId="0" borderId="1" xfId="3" applyNumberFormat="1" applyFont="1" applyFill="1" applyBorder="1" applyAlignment="1">
      <alignment vertical="center"/>
    </xf>
    <xf numFmtId="164" fontId="4" fillId="0" borderId="17" xfId="3" applyNumberFormat="1" applyFont="1" applyFill="1" applyBorder="1" applyAlignment="1">
      <alignment horizontal="center" vertical="center"/>
    </xf>
    <xf numFmtId="164" fontId="4" fillId="0" borderId="16" xfId="3" applyNumberFormat="1" applyFont="1" applyFill="1" applyBorder="1" applyAlignment="1">
      <alignment horizontal="left" vertical="center" wrapText="1" indent="2"/>
    </xf>
    <xf numFmtId="164" fontId="4" fillId="0" borderId="0" xfId="3" applyNumberFormat="1" applyFont="1" applyFill="1" applyBorder="1" applyAlignment="1">
      <alignment horizontal="left" vertical="center"/>
    </xf>
    <xf numFmtId="164" fontId="4" fillId="0" borderId="0" xfId="3" applyNumberFormat="1" applyFont="1" applyFill="1" applyBorder="1" applyAlignment="1">
      <alignment horizontal="left" vertical="center" wrapText="1"/>
    </xf>
    <xf numFmtId="9" fontId="4" fillId="0" borderId="0" xfId="2" applyFont="1" applyAlignment="1">
      <alignment vertical="center"/>
    </xf>
    <xf numFmtId="164" fontId="2" fillId="2" borderId="17" xfId="1" applyNumberFormat="1" applyFont="1" applyFill="1" applyBorder="1" applyAlignment="1">
      <alignment horizontal="center" vertical="center"/>
    </xf>
    <xf numFmtId="164" fontId="6" fillId="5" borderId="17" xfId="3" applyNumberFormat="1" applyFont="1" applyFill="1" applyBorder="1" applyAlignment="1">
      <alignment horizontal="center" vertical="center" wrapText="1"/>
    </xf>
    <xf numFmtId="164" fontId="4" fillId="0" borderId="52" xfId="3" applyNumberFormat="1" applyFont="1" applyFill="1" applyBorder="1" applyAlignment="1">
      <alignment horizontal="center" vertical="center"/>
    </xf>
    <xf numFmtId="164" fontId="4" fillId="0" borderId="23" xfId="3" applyNumberFormat="1" applyFont="1" applyFill="1" applyBorder="1" applyAlignment="1">
      <alignment vertical="center"/>
    </xf>
    <xf numFmtId="164" fontId="4" fillId="0" borderId="23" xfId="3" applyNumberFormat="1" applyFont="1" applyFill="1" applyBorder="1" applyAlignment="1">
      <alignment horizontal="center" vertical="center" wrapText="1"/>
    </xf>
    <xf numFmtId="0" fontId="3" fillId="6" borderId="18" xfId="3" applyNumberFormat="1" applyFont="1" applyFill="1" applyBorder="1" applyAlignment="1">
      <alignment horizontal="center" vertical="center" wrapText="1"/>
    </xf>
    <xf numFmtId="0" fontId="3" fillId="0" borderId="22" xfId="3" applyNumberFormat="1" applyFont="1" applyFill="1" applyBorder="1" applyAlignment="1">
      <alignment horizontal="center" vertical="center" wrapText="1"/>
    </xf>
    <xf numFmtId="0" fontId="3" fillId="0" borderId="22" xfId="3" applyNumberFormat="1" applyFont="1" applyFill="1" applyBorder="1" applyAlignment="1">
      <alignment horizontal="left"/>
    </xf>
    <xf numFmtId="168" fontId="3" fillId="0" borderId="22" xfId="3" applyNumberFormat="1" applyFont="1" applyFill="1" applyBorder="1" applyAlignment="1">
      <alignment vertical="center"/>
    </xf>
    <xf numFmtId="168" fontId="2" fillId="0" borderId="22" xfId="3" applyNumberFormat="1" applyFont="1" applyFill="1" applyBorder="1"/>
    <xf numFmtId="0" fontId="3" fillId="0" borderId="17" xfId="3" applyNumberFormat="1" applyFont="1" applyFill="1" applyBorder="1" applyAlignment="1">
      <alignment horizontal="center" vertical="center" wrapText="1"/>
    </xf>
    <xf numFmtId="168" fontId="4" fillId="0" borderId="20" xfId="3" applyNumberFormat="1" applyFont="1" applyFill="1" applyBorder="1" applyAlignment="1">
      <alignment vertical="center"/>
    </xf>
    <xf numFmtId="0" fontId="6" fillId="0" borderId="0" xfId="10" applyFont="1" applyAlignment="1">
      <alignment horizontal="left"/>
    </xf>
    <xf numFmtId="0" fontId="4" fillId="0" borderId="0" xfId="10" applyFont="1" applyAlignment="1">
      <alignment horizontal="left" indent="2"/>
    </xf>
    <xf numFmtId="0" fontId="4" fillId="0" borderId="0" xfId="12" applyFont="1"/>
    <xf numFmtId="0" fontId="4" fillId="0" borderId="0" xfId="10" applyFont="1"/>
    <xf numFmtId="0" fontId="4" fillId="0" borderId="0" xfId="10" applyFont="1" applyAlignment="1">
      <alignment horizontal="center"/>
    </xf>
    <xf numFmtId="0" fontId="6" fillId="0" borderId="0" xfId="10" applyFont="1" applyAlignment="1">
      <alignment horizontal="left" indent="2"/>
    </xf>
    <xf numFmtId="10" fontId="6" fillId="4" borderId="15" xfId="7" applyNumberFormat="1" applyFont="1" applyFill="1" applyBorder="1" applyAlignment="1">
      <alignment vertical="center" wrapText="1"/>
    </xf>
    <xf numFmtId="10" fontId="6" fillId="4" borderId="14" xfId="7" applyNumberFormat="1" applyFont="1" applyFill="1" applyBorder="1" applyAlignment="1">
      <alignment horizontal="center" vertical="center" wrapText="1"/>
    </xf>
    <xf numFmtId="10" fontId="6" fillId="4" borderId="57" xfId="7" applyNumberFormat="1" applyFont="1" applyFill="1" applyBorder="1" applyAlignment="1">
      <alignment horizontal="center" vertical="center" wrapText="1"/>
    </xf>
    <xf numFmtId="0" fontId="6" fillId="0" borderId="25" xfId="10" applyFont="1" applyBorder="1" applyAlignment="1">
      <alignment horizontal="center"/>
    </xf>
    <xf numFmtId="0" fontId="6" fillId="0" borderId="26" xfId="10" applyFont="1" applyBorder="1" applyAlignment="1">
      <alignment horizontal="left" indent="2"/>
    </xf>
    <xf numFmtId="10" fontId="6" fillId="0" borderId="14" xfId="7" applyNumberFormat="1" applyFont="1" applyBorder="1" applyAlignment="1">
      <alignment vertical="center" wrapText="1"/>
    </xf>
    <xf numFmtId="10" fontId="6" fillId="0" borderId="14" xfId="7" applyNumberFormat="1" applyFont="1" applyBorder="1" applyAlignment="1">
      <alignment horizontal="center" vertical="center" wrapText="1"/>
    </xf>
    <xf numFmtId="0" fontId="4" fillId="0" borderId="11" xfId="10" applyFont="1" applyBorder="1" applyAlignment="1">
      <alignment horizontal="center"/>
    </xf>
    <xf numFmtId="0" fontId="4" fillId="0" borderId="37" xfId="10" applyFont="1" applyBorder="1" applyAlignment="1"/>
    <xf numFmtId="10" fontId="4" fillId="14" borderId="33" xfId="7" applyNumberFormat="1" applyFont="1" applyFill="1" applyBorder="1" applyAlignment="1">
      <alignment vertical="center"/>
    </xf>
    <xf numFmtId="10" fontId="22" fillId="13" borderId="8" xfId="7" applyNumberFormat="1" applyFont="1" applyFill="1" applyBorder="1" applyAlignment="1">
      <alignment horizontal="right" vertical="center"/>
    </xf>
    <xf numFmtId="9" fontId="4" fillId="15" borderId="9" xfId="10" applyNumberFormat="1" applyFont="1" applyFill="1" applyBorder="1" applyAlignment="1">
      <alignment horizontal="center" vertical="center"/>
    </xf>
    <xf numFmtId="10" fontId="4" fillId="0" borderId="0" xfId="10" applyNumberFormat="1" applyFont="1"/>
    <xf numFmtId="0" fontId="4" fillId="0" borderId="36" xfId="10" applyFont="1" applyBorder="1" applyAlignment="1"/>
    <xf numFmtId="10" fontId="4" fillId="13" borderId="8" xfId="7" applyNumberFormat="1" applyFont="1" applyFill="1" applyBorder="1" applyAlignment="1">
      <alignment vertical="center"/>
    </xf>
    <xf numFmtId="10" fontId="4" fillId="13" borderId="8" xfId="13" applyNumberFormat="1" applyFont="1" applyFill="1" applyBorder="1" applyAlignment="1">
      <alignment horizontal="right" vertical="center"/>
    </xf>
    <xf numFmtId="10" fontId="4" fillId="14" borderId="43" xfId="7" applyNumberFormat="1" applyFont="1" applyFill="1" applyBorder="1" applyAlignment="1">
      <alignment vertical="center"/>
    </xf>
    <xf numFmtId="10" fontId="4" fillId="16" borderId="8" xfId="7" applyNumberFormat="1" applyFont="1" applyFill="1" applyBorder="1" applyAlignment="1">
      <alignment vertical="center"/>
    </xf>
    <xf numFmtId="10" fontId="4" fillId="16" borderId="8" xfId="13" applyNumberFormat="1" applyFont="1" applyFill="1" applyBorder="1" applyAlignment="1">
      <alignment horizontal="right" vertical="center"/>
    </xf>
    <xf numFmtId="0" fontId="4" fillId="0" borderId="34" xfId="10" applyFont="1" applyBorder="1"/>
    <xf numFmtId="0" fontId="4" fillId="0" borderId="5" xfId="10" applyFont="1" applyBorder="1"/>
    <xf numFmtId="0" fontId="4" fillId="0" borderId="41" xfId="10" applyFont="1" applyBorder="1"/>
    <xf numFmtId="10" fontId="23" fillId="16" borderId="8" xfId="7" applyNumberFormat="1" applyFont="1" applyFill="1" applyBorder="1" applyAlignment="1">
      <alignment vertical="center"/>
    </xf>
    <xf numFmtId="10" fontId="4" fillId="16" borderId="8" xfId="14" applyNumberFormat="1" applyFont="1" applyFill="1" applyBorder="1" applyAlignment="1">
      <alignment horizontal="right" vertical="center"/>
    </xf>
    <xf numFmtId="10" fontId="4" fillId="13" borderId="45" xfId="7" applyNumberFormat="1" applyFont="1" applyFill="1" applyBorder="1" applyAlignment="1">
      <alignment vertical="center"/>
    </xf>
    <xf numFmtId="10" fontId="4" fillId="13" borderId="58" xfId="7" applyNumberFormat="1" applyFont="1" applyFill="1" applyBorder="1" applyAlignment="1">
      <alignment vertical="center"/>
    </xf>
    <xf numFmtId="10" fontId="4" fillId="13" borderId="33" xfId="7" applyNumberFormat="1" applyFont="1" applyFill="1" applyBorder="1" applyAlignment="1">
      <alignment vertical="center"/>
    </xf>
    <xf numFmtId="10" fontId="4" fillId="13" borderId="12" xfId="7" applyNumberFormat="1" applyFont="1" applyFill="1" applyBorder="1" applyAlignment="1">
      <alignment vertical="center"/>
    </xf>
    <xf numFmtId="10" fontId="4" fillId="13" borderId="33" xfId="7" applyNumberFormat="1" applyFont="1" applyFill="1" applyBorder="1" applyAlignment="1">
      <alignment horizontal="right" vertical="center"/>
    </xf>
    <xf numFmtId="10" fontId="4" fillId="13" borderId="12" xfId="7" applyNumberFormat="1" applyFont="1" applyFill="1" applyBorder="1" applyAlignment="1">
      <alignment horizontal="right" vertical="center"/>
    </xf>
    <xf numFmtId="10" fontId="4" fillId="16" borderId="33" xfId="7" applyNumberFormat="1" applyFont="1" applyFill="1" applyBorder="1" applyAlignment="1">
      <alignment horizontal="right" vertical="center"/>
    </xf>
    <xf numFmtId="10" fontId="4" fillId="16" borderId="12" xfId="7" applyNumberFormat="1" applyFont="1" applyFill="1" applyBorder="1" applyAlignment="1">
      <alignment horizontal="right" vertical="center"/>
    </xf>
    <xf numFmtId="10" fontId="4" fillId="16" borderId="33" xfId="10" applyNumberFormat="1" applyFont="1" applyFill="1" applyBorder="1" applyAlignment="1">
      <alignment vertical="center" wrapText="1"/>
    </xf>
    <xf numFmtId="10" fontId="4" fillId="16" borderId="12" xfId="10" applyNumberFormat="1" applyFont="1" applyFill="1" applyBorder="1" applyAlignment="1">
      <alignment vertical="center" wrapText="1"/>
    </xf>
    <xf numFmtId="10" fontId="4" fillId="16" borderId="42" xfId="7" applyNumberFormat="1" applyFont="1" applyFill="1" applyBorder="1" applyAlignment="1">
      <alignment vertical="center"/>
    </xf>
    <xf numFmtId="10" fontId="4" fillId="16" borderId="59" xfId="7" applyNumberFormat="1" applyFont="1" applyFill="1" applyBorder="1" applyAlignment="1">
      <alignment vertical="center"/>
    </xf>
    <xf numFmtId="0" fontId="4" fillId="14" borderId="17" xfId="11" applyFont="1" applyFill="1" applyBorder="1" applyAlignment="1">
      <alignment vertical="center"/>
    </xf>
    <xf numFmtId="10" fontId="4" fillId="16" borderId="7" xfId="10" applyNumberFormat="1" applyFont="1" applyFill="1" applyBorder="1" applyAlignment="1">
      <alignment horizontal="right" vertical="center"/>
    </xf>
    <xf numFmtId="0" fontId="4" fillId="14" borderId="47" xfId="11" applyFont="1" applyFill="1" applyBorder="1" applyAlignment="1">
      <alignment vertical="center"/>
    </xf>
    <xf numFmtId="0" fontId="4" fillId="14" borderId="47" xfId="11" applyFont="1" applyFill="1" applyBorder="1" applyAlignment="1">
      <alignment vertical="center" wrapText="1"/>
    </xf>
    <xf numFmtId="10" fontId="4" fillId="13" borderId="33" xfId="7" applyNumberFormat="1" applyFont="1" applyFill="1" applyBorder="1" applyAlignment="1">
      <alignment vertical="center" wrapText="1"/>
    </xf>
    <xf numFmtId="0" fontId="4" fillId="14" borderId="40" xfId="11" applyFont="1" applyFill="1" applyBorder="1" applyAlignment="1">
      <alignment vertical="center"/>
    </xf>
    <xf numFmtId="0" fontId="4" fillId="14" borderId="33" xfId="11" applyFont="1" applyFill="1" applyBorder="1" applyAlignment="1">
      <alignment vertical="center"/>
    </xf>
    <xf numFmtId="0" fontId="4" fillId="14" borderId="11" xfId="11" applyFont="1" applyFill="1" applyBorder="1" applyAlignment="1">
      <alignment vertical="center"/>
    </xf>
    <xf numFmtId="10" fontId="4" fillId="16" borderId="43" xfId="7" applyNumberFormat="1" applyFont="1" applyFill="1" applyBorder="1" applyAlignment="1">
      <alignment vertical="center"/>
    </xf>
    <xf numFmtId="10" fontId="4" fillId="16" borderId="56" xfId="7" applyNumberFormat="1" applyFont="1" applyFill="1" applyBorder="1" applyAlignment="1">
      <alignment vertical="center"/>
    </xf>
    <xf numFmtId="10" fontId="4" fillId="16" borderId="33" xfId="13" applyNumberFormat="1" applyFont="1" applyFill="1" applyBorder="1" applyAlignment="1">
      <alignment vertical="center" wrapText="1"/>
    </xf>
    <xf numFmtId="10" fontId="4" fillId="16" borderId="33" xfId="7" applyNumberFormat="1" applyFont="1" applyFill="1" applyBorder="1" applyAlignment="1">
      <alignment vertical="center"/>
    </xf>
    <xf numFmtId="10" fontId="4" fillId="16" borderId="44" xfId="7" applyNumberFormat="1" applyFont="1" applyFill="1" applyBorder="1" applyAlignment="1">
      <alignment vertical="center"/>
    </xf>
    <xf numFmtId="10" fontId="4" fillId="16" borderId="55" xfId="7" applyNumberFormat="1" applyFont="1" applyFill="1" applyBorder="1" applyAlignment="1">
      <alignment vertical="center"/>
    </xf>
    <xf numFmtId="0" fontId="4" fillId="14" borderId="16" xfId="11" applyFont="1" applyFill="1" applyBorder="1" applyAlignment="1">
      <alignment vertical="center"/>
    </xf>
    <xf numFmtId="10" fontId="4" fillId="16" borderId="12" xfId="7" applyNumberFormat="1" applyFont="1" applyFill="1" applyBorder="1" applyAlignment="1">
      <alignment vertical="center"/>
    </xf>
    <xf numFmtId="10" fontId="4" fillId="17" borderId="39" xfId="7" applyNumberFormat="1" applyFont="1" applyFill="1" applyBorder="1" applyAlignment="1">
      <alignment vertical="center"/>
    </xf>
    <xf numFmtId="10" fontId="4" fillId="17" borderId="11" xfId="7" applyNumberFormat="1" applyFont="1" applyFill="1" applyBorder="1" applyAlignment="1">
      <alignment vertical="center"/>
    </xf>
    <xf numFmtId="0" fontId="4" fillId="14" borderId="39" xfId="11" applyFont="1" applyFill="1" applyBorder="1" applyAlignment="1">
      <alignment vertical="center"/>
    </xf>
    <xf numFmtId="10" fontId="4" fillId="14" borderId="39" xfId="7" applyNumberFormat="1" applyFont="1" applyFill="1" applyBorder="1" applyAlignment="1">
      <alignment vertical="center"/>
    </xf>
    <xf numFmtId="10" fontId="4" fillId="13" borderId="43" xfId="7" applyNumberFormat="1" applyFont="1" applyFill="1" applyBorder="1" applyAlignment="1">
      <alignment vertical="center"/>
    </xf>
    <xf numFmtId="0" fontId="4" fillId="14" borderId="46" xfId="11" applyFont="1" applyFill="1" applyBorder="1" applyAlignment="1">
      <alignment vertical="center"/>
    </xf>
    <xf numFmtId="10" fontId="4" fillId="17" borderId="47" xfId="7" applyNumberFormat="1" applyFont="1" applyFill="1" applyBorder="1" applyAlignment="1">
      <alignment vertical="center"/>
    </xf>
    <xf numFmtId="0" fontId="4" fillId="18" borderId="39" xfId="11" applyFont="1" applyFill="1" applyBorder="1" applyAlignment="1">
      <alignment vertical="center"/>
    </xf>
    <xf numFmtId="10" fontId="4" fillId="16" borderId="18" xfId="7" applyNumberFormat="1" applyFont="1" applyFill="1" applyBorder="1" applyAlignment="1">
      <alignment vertical="center"/>
    </xf>
    <xf numFmtId="0" fontId="4" fillId="19" borderId="33" xfId="11" applyFont="1" applyFill="1" applyBorder="1" applyAlignment="1">
      <alignment vertical="center"/>
    </xf>
    <xf numFmtId="10" fontId="4" fillId="16" borderId="45" xfId="7" applyNumberFormat="1" applyFont="1" applyFill="1" applyBorder="1" applyAlignment="1">
      <alignment vertical="center"/>
    </xf>
    <xf numFmtId="10" fontId="4" fillId="13" borderId="43" xfId="13" applyNumberFormat="1" applyFont="1" applyFill="1" applyBorder="1" applyAlignment="1">
      <alignment horizontal="right" vertical="center"/>
    </xf>
    <xf numFmtId="10" fontId="4" fillId="19" borderId="42" xfId="7" applyNumberFormat="1" applyFont="1" applyFill="1" applyBorder="1" applyAlignment="1">
      <alignment vertical="center"/>
    </xf>
    <xf numFmtId="10" fontId="4" fillId="8" borderId="43" xfId="7" applyNumberFormat="1" applyFont="1" applyFill="1" applyBorder="1" applyAlignment="1">
      <alignment vertical="center"/>
    </xf>
    <xf numFmtId="10" fontId="4" fillId="14" borderId="22" xfId="7" applyNumberFormat="1" applyFont="1" applyFill="1" applyBorder="1" applyAlignment="1">
      <alignment vertical="center"/>
    </xf>
    <xf numFmtId="10" fontId="4" fillId="8" borderId="33" xfId="7" applyNumberFormat="1" applyFont="1" applyFill="1" applyBorder="1" applyAlignment="1">
      <alignment vertical="center"/>
    </xf>
    <xf numFmtId="0" fontId="6" fillId="14" borderId="33" xfId="11" applyFont="1" applyFill="1" applyBorder="1" applyAlignment="1">
      <alignment vertical="center"/>
    </xf>
    <xf numFmtId="10" fontId="4" fillId="13" borderId="60" xfId="7" applyNumberFormat="1" applyFont="1" applyFill="1" applyBorder="1" applyAlignment="1">
      <alignment vertical="center"/>
    </xf>
    <xf numFmtId="10" fontId="4" fillId="13" borderId="61" xfId="7" applyNumberFormat="1" applyFont="1" applyFill="1" applyBorder="1" applyAlignment="1">
      <alignment vertical="center"/>
    </xf>
    <xf numFmtId="10" fontId="4" fillId="13" borderId="33" xfId="13" applyNumberFormat="1" applyFont="1" applyFill="1" applyBorder="1" applyAlignment="1">
      <alignment vertical="center"/>
    </xf>
    <xf numFmtId="10" fontId="4" fillId="13" borderId="12" xfId="13" applyNumberFormat="1" applyFont="1" applyFill="1" applyBorder="1" applyAlignment="1">
      <alignment vertical="center"/>
    </xf>
    <xf numFmtId="0" fontId="6" fillId="14" borderId="33" xfId="11" applyFont="1" applyFill="1" applyBorder="1" applyAlignment="1">
      <alignment vertical="center" wrapText="1"/>
    </xf>
    <xf numFmtId="10" fontId="4" fillId="13" borderId="33" xfId="13" applyNumberFormat="1" applyFont="1" applyFill="1" applyBorder="1" applyAlignment="1">
      <alignment vertical="center" wrapText="1"/>
    </xf>
    <xf numFmtId="10" fontId="4" fillId="13" borderId="12" xfId="13" applyNumberFormat="1" applyFont="1" applyFill="1" applyBorder="1" applyAlignment="1">
      <alignment vertical="center" wrapText="1"/>
    </xf>
    <xf numFmtId="0" fontId="6" fillId="14" borderId="11" xfId="11" applyFont="1" applyFill="1" applyBorder="1" applyAlignment="1">
      <alignment vertical="center"/>
    </xf>
    <xf numFmtId="0" fontId="6" fillId="8" borderId="11" xfId="11" applyFont="1" applyFill="1" applyBorder="1" applyAlignment="1">
      <alignment vertical="center"/>
    </xf>
    <xf numFmtId="10" fontId="4" fillId="16" borderId="33" xfId="13" applyNumberFormat="1" applyFont="1" applyFill="1" applyBorder="1" applyAlignment="1">
      <alignment vertical="center"/>
    </xf>
    <xf numFmtId="10" fontId="4" fillId="16" borderId="12" xfId="13" applyNumberFormat="1" applyFont="1" applyFill="1" applyBorder="1" applyAlignment="1">
      <alignment vertical="center"/>
    </xf>
    <xf numFmtId="0" fontId="6" fillId="14" borderId="11" xfId="11" applyFont="1" applyFill="1" applyBorder="1" applyAlignment="1">
      <alignment vertical="center" wrapText="1"/>
    </xf>
    <xf numFmtId="0" fontId="6" fillId="19" borderId="45" xfId="11" applyFont="1" applyFill="1" applyBorder="1" applyAlignment="1">
      <alignment vertical="center" wrapText="1"/>
    </xf>
    <xf numFmtId="10" fontId="4" fillId="13" borderId="45" xfId="13" applyNumberFormat="1" applyFont="1" applyFill="1" applyBorder="1" applyAlignment="1">
      <alignment vertical="center" wrapText="1"/>
    </xf>
    <xf numFmtId="0" fontId="6" fillId="19" borderId="43" xfId="11" applyFont="1" applyFill="1" applyBorder="1" applyAlignment="1">
      <alignment vertical="center" wrapText="1"/>
    </xf>
    <xf numFmtId="0" fontId="4" fillId="18" borderId="39" xfId="11" applyFont="1" applyFill="1" applyBorder="1" applyAlignment="1">
      <alignment vertical="center" wrapText="1"/>
    </xf>
    <xf numFmtId="10" fontId="4" fillId="20" borderId="11" xfId="10" applyNumberFormat="1" applyFont="1" applyFill="1" applyBorder="1" applyAlignment="1">
      <alignment vertical="center" wrapText="1"/>
    </xf>
    <xf numFmtId="10" fontId="4" fillId="20" borderId="8" xfId="10" applyNumberFormat="1" applyFont="1" applyFill="1" applyBorder="1" applyAlignment="1">
      <alignment vertical="center" wrapText="1"/>
    </xf>
    <xf numFmtId="10" fontId="4" fillId="20" borderId="9" xfId="7" applyNumberFormat="1" applyFont="1" applyFill="1" applyBorder="1" applyAlignment="1">
      <alignment vertical="center" wrapText="1"/>
    </xf>
    <xf numFmtId="10" fontId="4" fillId="8" borderId="33" xfId="13" applyNumberFormat="1" applyFont="1" applyFill="1" applyBorder="1" applyAlignment="1">
      <alignment vertical="center" wrapText="1"/>
    </xf>
    <xf numFmtId="10" fontId="4" fillId="17" borderId="9" xfId="7" applyNumberFormat="1" applyFont="1" applyFill="1" applyBorder="1" applyAlignment="1">
      <alignment vertical="center"/>
    </xf>
    <xf numFmtId="0" fontId="6" fillId="19" borderId="33" xfId="11" applyFont="1" applyFill="1" applyBorder="1" applyAlignment="1">
      <alignment vertical="center" wrapText="1"/>
    </xf>
    <xf numFmtId="10" fontId="4" fillId="13" borderId="43" xfId="13" applyNumberFormat="1" applyFont="1" applyFill="1" applyBorder="1" applyAlignment="1">
      <alignment vertical="center" wrapText="1"/>
    </xf>
    <xf numFmtId="10" fontId="4" fillId="8" borderId="43" xfId="13" applyNumberFormat="1" applyFont="1" applyFill="1" applyBorder="1" applyAlignment="1">
      <alignment vertical="center" wrapText="1"/>
    </xf>
    <xf numFmtId="0" fontId="6" fillId="19" borderId="42" xfId="11" applyFont="1" applyFill="1" applyBorder="1" applyAlignment="1">
      <alignment vertical="center" wrapText="1"/>
    </xf>
    <xf numFmtId="10" fontId="4" fillId="13" borderId="44" xfId="13" applyNumberFormat="1" applyFont="1" applyFill="1" applyBorder="1" applyAlignment="1">
      <alignment vertical="center" wrapText="1"/>
    </xf>
    <xf numFmtId="0" fontId="6" fillId="19" borderId="17" xfId="11" applyFont="1" applyFill="1" applyBorder="1" applyAlignment="1">
      <alignment vertical="center" wrapText="1"/>
    </xf>
    <xf numFmtId="0" fontId="6" fillId="19" borderId="44" xfId="11" applyFont="1" applyFill="1" applyBorder="1" applyAlignment="1">
      <alignment vertical="center" wrapText="1"/>
    </xf>
    <xf numFmtId="10" fontId="4" fillId="16" borderId="33" xfId="7" applyNumberFormat="1" applyFont="1" applyFill="1" applyBorder="1" applyAlignment="1">
      <alignment vertical="center" wrapText="1"/>
    </xf>
    <xf numFmtId="0" fontId="6" fillId="19" borderId="18" xfId="11" applyFont="1" applyFill="1" applyBorder="1" applyAlignment="1">
      <alignment vertical="center" wrapText="1"/>
    </xf>
    <xf numFmtId="0" fontId="4" fillId="18" borderId="39" xfId="10" applyFont="1" applyFill="1" applyBorder="1" applyAlignment="1">
      <alignment vertical="center" wrapText="1"/>
    </xf>
    <xf numFmtId="10" fontId="4" fillId="16" borderId="43" xfId="10" applyNumberFormat="1" applyFont="1" applyFill="1" applyBorder="1" applyAlignment="1">
      <alignment vertical="center" wrapText="1"/>
    </xf>
    <xf numFmtId="10" fontId="4" fillId="16" borderId="56" xfId="10" applyNumberFormat="1" applyFont="1" applyFill="1" applyBorder="1" applyAlignment="1">
      <alignment vertical="center" wrapText="1"/>
    </xf>
    <xf numFmtId="2" fontId="4" fillId="20" borderId="11" xfId="10" applyNumberFormat="1" applyFont="1" applyFill="1" applyBorder="1" applyAlignment="1">
      <alignment vertical="center" wrapText="1"/>
    </xf>
    <xf numFmtId="2" fontId="4" fillId="20" borderId="8" xfId="10" applyNumberFormat="1" applyFont="1" applyFill="1" applyBorder="1" applyAlignment="1">
      <alignment vertical="center" wrapText="1"/>
    </xf>
    <xf numFmtId="9" fontId="4" fillId="20" borderId="8" xfId="7" applyFont="1" applyFill="1" applyBorder="1" applyAlignment="1">
      <alignment vertical="center" wrapText="1"/>
    </xf>
    <xf numFmtId="10" fontId="4" fillId="18" borderId="39" xfId="7" applyNumberFormat="1" applyFont="1" applyFill="1" applyBorder="1" applyAlignment="1">
      <alignment vertical="center"/>
    </xf>
    <xf numFmtId="10" fontId="4" fillId="13" borderId="39" xfId="10" applyNumberFormat="1" applyFont="1" applyFill="1" applyBorder="1" applyAlignment="1">
      <alignment horizontal="right" vertical="center"/>
    </xf>
    <xf numFmtId="10" fontId="4" fillId="13" borderId="33" xfId="10" applyNumberFormat="1" applyFont="1" applyFill="1" applyBorder="1" applyAlignment="1">
      <alignment horizontal="right" vertical="center"/>
    </xf>
    <xf numFmtId="10" fontId="4" fillId="13" borderId="12" xfId="10" applyNumberFormat="1" applyFont="1" applyFill="1" applyBorder="1" applyAlignment="1">
      <alignment horizontal="right" vertical="center"/>
    </xf>
    <xf numFmtId="10" fontId="4" fillId="14" borderId="24" xfId="7" applyNumberFormat="1" applyFont="1" applyFill="1" applyBorder="1" applyAlignment="1">
      <alignment vertical="center"/>
    </xf>
    <xf numFmtId="10" fontId="4" fillId="13" borderId="39" xfId="10" applyNumberFormat="1" applyFont="1" applyFill="1" applyBorder="1" applyAlignment="1">
      <alignment horizontal="right" vertical="center" wrapText="1"/>
    </xf>
    <xf numFmtId="10" fontId="4" fillId="13" borderId="33" xfId="10" applyNumberFormat="1" applyFont="1" applyFill="1" applyBorder="1" applyAlignment="1">
      <alignment horizontal="right" vertical="center" wrapText="1"/>
    </xf>
    <xf numFmtId="10" fontId="4" fillId="13" borderId="12" xfId="10" applyNumberFormat="1" applyFont="1" applyFill="1" applyBorder="1" applyAlignment="1">
      <alignment horizontal="right" vertical="center" wrapText="1"/>
    </xf>
    <xf numFmtId="10" fontId="4" fillId="14" borderId="52" xfId="7" applyNumberFormat="1" applyFont="1" applyFill="1" applyBorder="1" applyAlignment="1">
      <alignment vertical="center"/>
    </xf>
    <xf numFmtId="10" fontId="4" fillId="13" borderId="39" xfId="7" applyNumberFormat="1" applyFont="1" applyFill="1" applyBorder="1" applyAlignment="1">
      <alignment horizontal="right" vertical="center" wrapText="1"/>
    </xf>
    <xf numFmtId="164" fontId="24" fillId="21" borderId="62" xfId="15" applyNumberFormat="1" applyFont="1" applyFill="1" applyBorder="1" applyAlignment="1">
      <alignment vertical="center" wrapText="1"/>
    </xf>
    <xf numFmtId="164" fontId="24" fillId="21" borderId="23" xfId="15" applyNumberFormat="1" applyFont="1" applyFill="1" applyBorder="1" applyAlignment="1">
      <alignment vertical="center"/>
    </xf>
    <xf numFmtId="164" fontId="4" fillId="11" borderId="62" xfId="15" applyNumberFormat="1" applyFont="1" applyFill="1" applyBorder="1" applyAlignment="1">
      <alignment vertical="center" wrapText="1"/>
    </xf>
    <xf numFmtId="164" fontId="4" fillId="11" borderId="22" xfId="15" applyNumberFormat="1" applyFont="1" applyFill="1" applyBorder="1" applyAlignment="1">
      <alignment vertical="center" wrapText="1"/>
    </xf>
    <xf numFmtId="164" fontId="4" fillId="13" borderId="22" xfId="15" applyNumberFormat="1" applyFont="1" applyFill="1" applyBorder="1" applyAlignment="1">
      <alignment vertical="center" wrapText="1"/>
    </xf>
    <xf numFmtId="164" fontId="4" fillId="13" borderId="22" xfId="15" applyNumberFormat="1" applyFont="1" applyFill="1" applyBorder="1" applyAlignment="1">
      <alignment vertical="center"/>
    </xf>
    <xf numFmtId="164" fontId="4" fillId="11" borderId="22" xfId="15" applyNumberFormat="1" applyFont="1" applyFill="1" applyBorder="1" applyAlignment="1">
      <alignment vertical="center"/>
    </xf>
    <xf numFmtId="164" fontId="24" fillId="21" borderId="63" xfId="15" applyNumberFormat="1" applyFont="1" applyFill="1" applyBorder="1" applyAlignment="1">
      <alignment vertical="center"/>
    </xf>
    <xf numFmtId="10" fontId="4" fillId="16" borderId="7" xfId="14" applyNumberFormat="1" applyFont="1" applyFill="1" applyBorder="1" applyAlignment="1">
      <alignment horizontal="right" vertical="center"/>
    </xf>
    <xf numFmtId="10" fontId="4" fillId="16" borderId="35" xfId="14" applyNumberFormat="1" applyFont="1" applyFill="1" applyBorder="1" applyAlignment="1">
      <alignment horizontal="right" vertical="center"/>
    </xf>
    <xf numFmtId="10" fontId="4" fillId="16" borderId="11" xfId="7" applyNumberFormat="1" applyFont="1" applyFill="1" applyBorder="1" applyAlignment="1">
      <alignment vertical="center"/>
    </xf>
    <xf numFmtId="164" fontId="4" fillId="11" borderId="63" xfId="15" applyNumberFormat="1" applyFont="1" applyFill="1" applyBorder="1" applyAlignment="1">
      <alignment vertical="center" wrapText="1"/>
    </xf>
    <xf numFmtId="10" fontId="4" fillId="16" borderId="11" xfId="14" applyNumberFormat="1" applyFont="1" applyFill="1" applyBorder="1" applyAlignment="1">
      <alignment horizontal="right" vertical="center" wrapText="1"/>
    </xf>
    <xf numFmtId="10" fontId="4" fillId="16" borderId="8" xfId="14" applyNumberFormat="1" applyFont="1" applyFill="1" applyBorder="1" applyAlignment="1">
      <alignment horizontal="right" vertical="center" wrapText="1"/>
    </xf>
    <xf numFmtId="164" fontId="4" fillId="11" borderId="63" xfId="15" applyNumberFormat="1" applyFont="1" applyFill="1" applyBorder="1" applyAlignment="1">
      <alignment vertical="center"/>
    </xf>
    <xf numFmtId="10" fontId="4" fillId="16" borderId="47" xfId="7" applyNumberFormat="1" applyFont="1" applyFill="1" applyBorder="1" applyAlignment="1">
      <alignment vertical="center"/>
    </xf>
    <xf numFmtId="10" fontId="4" fillId="16" borderId="41" xfId="7" applyNumberFormat="1" applyFont="1" applyFill="1" applyBorder="1" applyAlignment="1">
      <alignment vertical="center"/>
    </xf>
    <xf numFmtId="10" fontId="4" fillId="16" borderId="11" xfId="14" applyNumberFormat="1" applyFont="1" applyFill="1" applyBorder="1" applyAlignment="1">
      <alignment horizontal="right" vertical="center"/>
    </xf>
    <xf numFmtId="164" fontId="4" fillId="13" borderId="63" xfId="15" applyNumberFormat="1" applyFont="1" applyFill="1" applyBorder="1" applyAlignment="1">
      <alignment vertical="center" wrapText="1"/>
    </xf>
    <xf numFmtId="10" fontId="4" fillId="16" borderId="11" xfId="13" applyNumberFormat="1" applyFont="1" applyFill="1" applyBorder="1" applyAlignment="1">
      <alignment horizontal="right" vertical="center"/>
    </xf>
    <xf numFmtId="164" fontId="4" fillId="13" borderId="63" xfId="15" applyNumberFormat="1" applyFont="1" applyFill="1" applyBorder="1" applyAlignment="1">
      <alignment vertical="center"/>
    </xf>
    <xf numFmtId="164" fontId="4" fillId="13" borderId="63" xfId="15" applyNumberFormat="1" applyFont="1" applyFill="1" applyBorder="1" applyAlignment="1"/>
    <xf numFmtId="164" fontId="4" fillId="13" borderId="63" xfId="15" applyNumberFormat="1" applyFont="1" applyFill="1" applyBorder="1" applyAlignment="1">
      <alignment wrapText="1"/>
    </xf>
    <xf numFmtId="10" fontId="4" fillId="16" borderId="11" xfId="7" applyNumberFormat="1" applyFont="1" applyFill="1" applyBorder="1" applyAlignment="1">
      <alignment vertical="center" wrapText="1"/>
    </xf>
    <xf numFmtId="10" fontId="4" fillId="16" borderId="8" xfId="7" applyNumberFormat="1" applyFont="1" applyFill="1" applyBorder="1" applyAlignment="1">
      <alignment vertical="center" wrapText="1"/>
    </xf>
    <xf numFmtId="164" fontId="4" fillId="8" borderId="63" xfId="15" applyNumberFormat="1" applyFont="1" applyFill="1" applyBorder="1" applyAlignment="1"/>
    <xf numFmtId="10" fontId="4" fillId="16" borderId="47" xfId="10" applyNumberFormat="1" applyFont="1" applyFill="1" applyBorder="1" applyAlignment="1">
      <alignment horizontal="right" vertical="center"/>
    </xf>
    <xf numFmtId="10" fontId="4" fillId="16" borderId="41" xfId="10" applyNumberFormat="1" applyFont="1" applyFill="1" applyBorder="1" applyAlignment="1">
      <alignment horizontal="right" vertical="center"/>
    </xf>
    <xf numFmtId="164" fontId="4" fillId="22" borderId="63" xfId="15" applyNumberFormat="1" applyFont="1" applyFill="1" applyBorder="1" applyAlignment="1"/>
    <xf numFmtId="164" fontId="4" fillId="22" borderId="63" xfId="15" applyNumberFormat="1" applyFont="1" applyFill="1" applyBorder="1" applyAlignment="1">
      <alignment horizontal="left"/>
    </xf>
    <xf numFmtId="164" fontId="4" fillId="22" borderId="63" xfId="15" applyNumberFormat="1" applyFont="1" applyFill="1" applyBorder="1" applyAlignment="1">
      <alignment vertical="center"/>
    </xf>
    <xf numFmtId="10" fontId="4" fillId="8" borderId="11" xfId="7" applyNumberFormat="1" applyFont="1" applyFill="1" applyBorder="1" applyAlignment="1">
      <alignment vertical="center"/>
    </xf>
    <xf numFmtId="10" fontId="4" fillId="8" borderId="8" xfId="7" applyNumberFormat="1" applyFont="1" applyFill="1" applyBorder="1" applyAlignment="1">
      <alignment vertical="center"/>
    </xf>
    <xf numFmtId="164" fontId="4" fillId="22" borderId="64" xfId="15" applyNumberFormat="1" applyFont="1" applyFill="1" applyBorder="1" applyAlignment="1"/>
    <xf numFmtId="172" fontId="4" fillId="8" borderId="11" xfId="7" applyNumberFormat="1" applyFont="1" applyFill="1" applyBorder="1" applyAlignment="1">
      <alignment horizontal="right" vertical="center"/>
    </xf>
    <xf numFmtId="172" fontId="4" fillId="8" borderId="8" xfId="7" applyNumberFormat="1" applyFont="1" applyFill="1" applyBorder="1" applyAlignment="1">
      <alignment horizontal="right" vertical="center"/>
    </xf>
    <xf numFmtId="0" fontId="4" fillId="23" borderId="0" xfId="13" applyFont="1" applyFill="1" applyAlignment="1">
      <alignment vertical="center"/>
    </xf>
    <xf numFmtId="164" fontId="4" fillId="6" borderId="62" xfId="15" applyNumberFormat="1" applyFont="1" applyFill="1" applyBorder="1" applyAlignment="1">
      <alignment vertical="center" wrapText="1"/>
    </xf>
    <xf numFmtId="0" fontId="4" fillId="19" borderId="33" xfId="11" applyFont="1" applyFill="1" applyBorder="1" applyAlignment="1">
      <alignment vertical="center" wrapText="1"/>
    </xf>
    <xf numFmtId="0" fontId="4" fillId="19" borderId="43" xfId="11" applyFont="1" applyFill="1" applyBorder="1" applyAlignment="1">
      <alignment vertical="center" wrapText="1"/>
    </xf>
    <xf numFmtId="10" fontId="4" fillId="18" borderId="39" xfId="7" applyNumberFormat="1" applyFont="1" applyFill="1" applyBorder="1" applyAlignment="1">
      <alignment vertical="center" wrapText="1"/>
    </xf>
    <xf numFmtId="10" fontId="4" fillId="15" borderId="11" xfId="10" applyNumberFormat="1" applyFont="1" applyFill="1" applyBorder="1" applyAlignment="1">
      <alignment horizontal="center" vertical="center"/>
    </xf>
    <xf numFmtId="10" fontId="4" fillId="15" borderId="8" xfId="10" applyNumberFormat="1" applyFont="1" applyFill="1" applyBorder="1" applyAlignment="1">
      <alignment horizontal="center" vertical="center"/>
    </xf>
    <xf numFmtId="10" fontId="21" fillId="11" borderId="28" xfId="2" applyNumberFormat="1" applyFont="1" applyFill="1" applyBorder="1"/>
    <xf numFmtId="164" fontId="3" fillId="6" borderId="17" xfId="3" applyNumberFormat="1" applyFont="1" applyFill="1" applyBorder="1" applyAlignment="1">
      <alignment vertical="center"/>
    </xf>
    <xf numFmtId="164" fontId="3" fillId="6" borderId="17" xfId="3" applyNumberFormat="1" applyFont="1" applyFill="1" applyBorder="1" applyAlignment="1"/>
    <xf numFmtId="164" fontId="17" fillId="6" borderId="17" xfId="3" applyNumberFormat="1" applyFont="1" applyFill="1" applyBorder="1" applyAlignment="1"/>
    <xf numFmtId="164" fontId="2" fillId="5" borderId="17" xfId="3" applyNumberFormat="1" applyFont="1" applyFill="1" applyBorder="1" applyAlignment="1">
      <alignment vertical="center" wrapText="1"/>
    </xf>
    <xf numFmtId="10" fontId="0" fillId="0" borderId="0" xfId="0" applyNumberFormat="1"/>
    <xf numFmtId="0" fontId="2" fillId="6" borderId="0" xfId="10" applyFont="1" applyFill="1" applyBorder="1" applyAlignment="1">
      <alignment vertical="center" wrapText="1"/>
    </xf>
    <xf numFmtId="0" fontId="2" fillId="6" borderId="0" xfId="10" applyFont="1" applyFill="1" applyBorder="1" applyAlignment="1">
      <alignment vertical="center"/>
    </xf>
    <xf numFmtId="168" fontId="2" fillId="6" borderId="0" xfId="3" applyNumberFormat="1" applyFont="1" applyFill="1" applyBorder="1" applyAlignment="1">
      <alignment vertical="center"/>
    </xf>
    <xf numFmtId="164" fontId="6" fillId="5" borderId="17" xfId="3" applyNumberFormat="1" applyFont="1" applyFill="1" applyBorder="1" applyAlignment="1">
      <alignment horizontal="center" vertical="center" wrapText="1"/>
    </xf>
    <xf numFmtId="164" fontId="6" fillId="5" borderId="17" xfId="3" applyNumberFormat="1" applyFont="1" applyFill="1" applyBorder="1" applyAlignment="1">
      <alignment horizontal="center" vertical="center" wrapText="1"/>
    </xf>
    <xf numFmtId="164" fontId="2" fillId="2" borderId="4" xfId="1" applyNumberFormat="1" applyFont="1" applyFill="1" applyBorder="1" applyAlignment="1">
      <alignment horizontal="center" vertical="center" wrapText="1"/>
    </xf>
    <xf numFmtId="164" fontId="6" fillId="5" borderId="19" xfId="3" applyNumberFormat="1" applyFont="1" applyFill="1" applyBorder="1" applyAlignment="1">
      <alignment horizontal="left" vertical="center"/>
    </xf>
    <xf numFmtId="164" fontId="6" fillId="0" borderId="16" xfId="3" applyNumberFormat="1" applyFont="1" applyFill="1" applyBorder="1" applyAlignment="1">
      <alignment horizontal="left" vertical="center"/>
    </xf>
    <xf numFmtId="0" fontId="4" fillId="0" borderId="0" xfId="4" applyFont="1" applyFill="1" applyBorder="1" applyAlignment="1">
      <alignment vertical="center"/>
    </xf>
    <xf numFmtId="0" fontId="6" fillId="0" borderId="0" xfId="4" applyFont="1" applyFill="1" applyBorder="1" applyAlignment="1">
      <alignment vertical="center"/>
    </xf>
    <xf numFmtId="0" fontId="6" fillId="0" borderId="0" xfId="4" applyFont="1" applyFill="1" applyBorder="1" applyAlignment="1">
      <alignment vertical="center" wrapText="1"/>
    </xf>
    <xf numFmtId="170" fontId="4" fillId="0" borderId="0" xfId="3" applyNumberFormat="1" applyFont="1" applyFill="1" applyBorder="1" applyAlignment="1">
      <alignment horizontal="center" vertical="center"/>
    </xf>
    <xf numFmtId="164" fontId="4" fillId="0" borderId="16" xfId="3" applyNumberFormat="1" applyFont="1" applyFill="1" applyBorder="1" applyAlignment="1">
      <alignment horizontal="left" vertical="center"/>
    </xf>
    <xf numFmtId="164" fontId="4" fillId="0" borderId="69" xfId="3" applyNumberFormat="1" applyFont="1" applyFill="1" applyBorder="1" applyAlignment="1">
      <alignment vertical="center"/>
    </xf>
    <xf numFmtId="164" fontId="4" fillId="0" borderId="70" xfId="3" applyNumberFormat="1" applyFont="1" applyFill="1" applyBorder="1" applyAlignment="1">
      <alignment vertical="center" wrapText="1"/>
    </xf>
    <xf numFmtId="164" fontId="4" fillId="0" borderId="70" xfId="3" applyNumberFormat="1" applyFont="1" applyFill="1" applyBorder="1" applyAlignment="1">
      <alignment vertical="center"/>
    </xf>
    <xf numFmtId="164" fontId="4" fillId="0" borderId="70" xfId="3" applyNumberFormat="1" applyFont="1" applyFill="1" applyBorder="1" applyAlignment="1">
      <alignment horizontal="left" vertical="center"/>
    </xf>
    <xf numFmtId="168" fontId="4" fillId="0" borderId="70" xfId="3" applyNumberFormat="1" applyFont="1" applyFill="1" applyBorder="1" applyAlignment="1">
      <alignment vertical="center"/>
    </xf>
    <xf numFmtId="168" fontId="4" fillId="0" borderId="71" xfId="3" applyNumberFormat="1" applyFont="1" applyFill="1" applyBorder="1" applyAlignment="1">
      <alignment vertical="center"/>
    </xf>
    <xf numFmtId="0" fontId="11" fillId="0" borderId="72" xfId="5" applyFont="1" applyFill="1" applyBorder="1" applyAlignment="1">
      <alignment vertical="center"/>
    </xf>
    <xf numFmtId="164" fontId="11" fillId="0" borderId="63" xfId="5" applyNumberFormat="1" applyFont="1" applyFill="1" applyBorder="1" applyAlignment="1">
      <alignment vertical="center"/>
    </xf>
    <xf numFmtId="164" fontId="4" fillId="0" borderId="63" xfId="3" applyNumberFormat="1" applyFont="1" applyFill="1" applyBorder="1" applyAlignment="1">
      <alignment vertical="center"/>
    </xf>
    <xf numFmtId="164" fontId="4" fillId="0" borderId="63" xfId="3" applyNumberFormat="1" applyFont="1" applyFill="1" applyBorder="1" applyAlignment="1">
      <alignment horizontal="center" vertical="center" wrapText="1"/>
    </xf>
    <xf numFmtId="168" fontId="4" fillId="0" borderId="63" xfId="3" applyNumberFormat="1" applyFont="1" applyFill="1" applyBorder="1" applyAlignment="1">
      <alignment vertical="center"/>
    </xf>
    <xf numFmtId="168" fontId="4" fillId="0" borderId="53" xfId="3" applyNumberFormat="1" applyFont="1" applyFill="1" applyBorder="1" applyAlignment="1">
      <alignment vertical="center"/>
    </xf>
    <xf numFmtId="10" fontId="4" fillId="0" borderId="72" xfId="7" applyNumberFormat="1" applyFont="1" applyFill="1" applyBorder="1" applyAlignment="1">
      <alignment vertical="center"/>
    </xf>
    <xf numFmtId="164" fontId="3" fillId="6" borderId="63" xfId="3" applyNumberFormat="1" applyFont="1" applyFill="1" applyBorder="1" applyAlignment="1">
      <alignment vertical="center"/>
    </xf>
    <xf numFmtId="164" fontId="3" fillId="6" borderId="63" xfId="3" applyNumberFormat="1" applyFont="1" applyFill="1" applyBorder="1" applyAlignment="1">
      <alignment horizontal="center" vertical="center" wrapText="1"/>
    </xf>
    <xf numFmtId="168" fontId="4" fillId="0" borderId="73" xfId="3" applyNumberFormat="1" applyFont="1" applyFill="1" applyBorder="1" applyAlignment="1">
      <alignment vertical="center"/>
    </xf>
    <xf numFmtId="168" fontId="4" fillId="0" borderId="74" xfId="3" applyNumberFormat="1" applyFont="1" applyFill="1" applyBorder="1" applyAlignment="1">
      <alignment vertical="center"/>
    </xf>
    <xf numFmtId="164" fontId="4" fillId="0" borderId="51" xfId="3" applyNumberFormat="1" applyFont="1" applyFill="1" applyBorder="1" applyAlignment="1">
      <alignment vertical="center"/>
    </xf>
    <xf numFmtId="164" fontId="4" fillId="0" borderId="67" xfId="3" applyNumberFormat="1" applyFont="1" applyFill="1" applyBorder="1" applyAlignment="1">
      <alignment vertical="center"/>
    </xf>
    <xf numFmtId="164" fontId="4" fillId="0" borderId="67" xfId="3" applyNumberFormat="1" applyFont="1" applyFill="1" applyBorder="1" applyAlignment="1">
      <alignment horizontal="center" vertical="center" wrapText="1"/>
    </xf>
    <xf numFmtId="168" fontId="4" fillId="0" borderId="67" xfId="3" applyNumberFormat="1" applyFont="1" applyFill="1" applyBorder="1" applyAlignment="1">
      <alignment vertical="center"/>
    </xf>
    <xf numFmtId="168" fontId="4" fillId="0" borderId="68" xfId="3" applyNumberFormat="1" applyFont="1" applyFill="1" applyBorder="1" applyAlignment="1">
      <alignment vertical="center"/>
    </xf>
    <xf numFmtId="0" fontId="0" fillId="0" borderId="14" xfId="0" applyBorder="1"/>
    <xf numFmtId="164" fontId="4" fillId="0" borderId="63" xfId="15" applyNumberFormat="1" applyFont="1" applyFill="1" applyBorder="1" applyAlignment="1">
      <alignment vertical="center"/>
    </xf>
    <xf numFmtId="0" fontId="6" fillId="2" borderId="2" xfId="3" applyNumberFormat="1" applyFont="1" applyFill="1" applyBorder="1" applyAlignment="1">
      <alignment horizontal="center" vertical="center" wrapText="1"/>
    </xf>
    <xf numFmtId="0" fontId="6" fillId="2" borderId="3" xfId="3" applyNumberFormat="1" applyFont="1" applyFill="1" applyBorder="1" applyAlignment="1">
      <alignment horizontal="left" vertical="center" wrapText="1"/>
    </xf>
    <xf numFmtId="164" fontId="6" fillId="2" borderId="3" xfId="3" applyNumberFormat="1" applyFont="1" applyFill="1" applyBorder="1" applyAlignment="1">
      <alignment horizontal="center" vertical="center"/>
    </xf>
    <xf numFmtId="168" fontId="6" fillId="2" borderId="49" xfId="3" applyNumberFormat="1" applyFont="1" applyFill="1" applyBorder="1" applyAlignment="1">
      <alignment horizontal="center" vertical="center"/>
    </xf>
    <xf numFmtId="0" fontId="6" fillId="2" borderId="4" xfId="3" applyNumberFormat="1" applyFont="1" applyFill="1" applyBorder="1" applyAlignment="1">
      <alignment horizontal="center" vertical="center" wrapText="1"/>
    </xf>
    <xf numFmtId="0" fontId="6" fillId="2" borderId="5" xfId="3" applyNumberFormat="1" applyFont="1" applyFill="1" applyBorder="1" applyAlignment="1">
      <alignment horizontal="left" vertical="center" wrapText="1"/>
    </xf>
    <xf numFmtId="164" fontId="6" fillId="2" borderId="5" xfId="3" applyNumberFormat="1" applyFont="1" applyFill="1" applyBorder="1" applyAlignment="1">
      <alignment horizontal="center" vertical="center"/>
    </xf>
    <xf numFmtId="168" fontId="6" fillId="2" borderId="50" xfId="3" applyNumberFormat="1" applyFont="1" applyFill="1" applyBorder="1" applyAlignment="1">
      <alignment horizontal="center" vertical="center"/>
    </xf>
    <xf numFmtId="0" fontId="6" fillId="2" borderId="51" xfId="3" applyNumberFormat="1" applyFont="1" applyFill="1" applyBorder="1" applyAlignment="1">
      <alignment horizontal="center" vertical="center" wrapText="1"/>
    </xf>
    <xf numFmtId="0" fontId="6" fillId="2" borderId="67" xfId="3" applyNumberFormat="1" applyFont="1" applyFill="1" applyBorder="1" applyAlignment="1">
      <alignment horizontal="left" vertical="center" wrapText="1"/>
    </xf>
    <xf numFmtId="164" fontId="6" fillId="2" borderId="67" xfId="3" applyNumberFormat="1" applyFont="1" applyFill="1" applyBorder="1" applyAlignment="1">
      <alignment horizontal="center" vertical="center"/>
    </xf>
    <xf numFmtId="168" fontId="6" fillId="2" borderId="68" xfId="3" applyNumberFormat="1" applyFont="1" applyFill="1" applyBorder="1" applyAlignment="1">
      <alignment horizontal="center" vertical="center"/>
    </xf>
    <xf numFmtId="0" fontId="4" fillId="0" borderId="63" xfId="3" applyNumberFormat="1" applyFont="1" applyFill="1" applyBorder="1" applyAlignment="1">
      <alignment horizontal="left" wrapText="1"/>
    </xf>
    <xf numFmtId="168" fontId="6" fillId="0" borderId="53" xfId="3" applyNumberFormat="1" applyFont="1" applyFill="1" applyBorder="1" applyAlignment="1">
      <alignment vertical="center"/>
    </xf>
    <xf numFmtId="0" fontId="4" fillId="0" borderId="10" xfId="3" applyNumberFormat="1" applyFont="1" applyBorder="1" applyAlignment="1">
      <alignment horizontal="center" vertical="center" wrapText="1"/>
    </xf>
    <xf numFmtId="0" fontId="4" fillId="0" borderId="38" xfId="3" applyNumberFormat="1" applyFont="1" applyBorder="1" applyAlignment="1">
      <alignment horizontal="left" vertical="center" wrapText="1"/>
    </xf>
    <xf numFmtId="168" fontId="6" fillId="0" borderId="38" xfId="3" applyNumberFormat="1" applyFont="1" applyFill="1" applyBorder="1" applyAlignment="1">
      <alignment vertical="center"/>
    </xf>
    <xf numFmtId="168" fontId="6" fillId="0" borderId="54" xfId="3" applyNumberFormat="1" applyFont="1" applyFill="1" applyBorder="1" applyAlignment="1">
      <alignment vertical="center"/>
    </xf>
    <xf numFmtId="0" fontId="4" fillId="0" borderId="70" xfId="3" applyNumberFormat="1" applyFont="1" applyFill="1" applyBorder="1" applyAlignment="1">
      <alignment horizontal="left" wrapText="1"/>
    </xf>
    <xf numFmtId="0" fontId="4" fillId="0" borderId="63" xfId="3" applyNumberFormat="1" applyFont="1" applyFill="1" applyBorder="1" applyAlignment="1">
      <alignment horizontal="left"/>
    </xf>
    <xf numFmtId="0" fontId="4" fillId="10" borderId="63" xfId="3" applyNumberFormat="1" applyFont="1" applyFill="1" applyBorder="1" applyAlignment="1">
      <alignment horizontal="left" wrapText="1"/>
    </xf>
    <xf numFmtId="0" fontId="4" fillId="0" borderId="38" xfId="3" applyNumberFormat="1" applyFont="1" applyBorder="1" applyAlignment="1">
      <alignment horizontal="center" vertical="center" wrapText="1"/>
    </xf>
    <xf numFmtId="164" fontId="4" fillId="0" borderId="45" xfId="3" applyNumberFormat="1" applyFont="1" applyFill="1" applyBorder="1" applyAlignment="1">
      <alignment vertical="center"/>
    </xf>
    <xf numFmtId="10" fontId="4" fillId="0" borderId="33" xfId="7" applyNumberFormat="1" applyFont="1" applyFill="1" applyBorder="1" applyAlignment="1">
      <alignment vertical="center"/>
    </xf>
    <xf numFmtId="164" fontId="4" fillId="0" borderId="33" xfId="3" applyNumberFormat="1" applyFont="1" applyFill="1" applyBorder="1" applyAlignment="1">
      <alignment vertical="center"/>
    </xf>
    <xf numFmtId="166" fontId="4" fillId="0" borderId="17" xfId="6" applyNumberFormat="1" applyFont="1" applyBorder="1"/>
    <xf numFmtId="10" fontId="4" fillId="16" borderId="33" xfId="14" applyNumberFormat="1" applyFont="1" applyFill="1" applyBorder="1" applyAlignment="1">
      <alignment horizontal="right" vertical="center"/>
    </xf>
    <xf numFmtId="10" fontId="4" fillId="14" borderId="17" xfId="7" applyNumberFormat="1" applyFont="1" applyFill="1" applyBorder="1" applyAlignment="1">
      <alignment vertical="center"/>
    </xf>
    <xf numFmtId="164" fontId="4" fillId="0" borderId="0" xfId="3" applyNumberFormat="1" applyFont="1" applyBorder="1" applyAlignment="1">
      <alignment vertical="center"/>
    </xf>
    <xf numFmtId="164" fontId="4" fillId="10" borderId="0" xfId="3" applyNumberFormat="1" applyFont="1" applyFill="1" applyBorder="1" applyAlignment="1">
      <alignment vertical="center"/>
    </xf>
    <xf numFmtId="0" fontId="4" fillId="0" borderId="16" xfId="3" applyNumberFormat="1" applyFont="1" applyFill="1" applyBorder="1" applyAlignment="1">
      <alignment horizontal="center" vertical="center" wrapText="1"/>
    </xf>
    <xf numFmtId="164" fontId="4" fillId="0" borderId="23" xfId="3" applyNumberFormat="1" applyFont="1" applyFill="1" applyBorder="1" applyAlignment="1">
      <alignment horizontal="left" vertical="center"/>
    </xf>
    <xf numFmtId="164" fontId="4" fillId="0" borderId="23" xfId="3" applyNumberFormat="1" applyFont="1" applyFill="1" applyBorder="1" applyAlignment="1">
      <alignment vertical="center" wrapText="1"/>
    </xf>
    <xf numFmtId="164" fontId="4" fillId="0" borderId="23" xfId="3" applyNumberFormat="1" applyFont="1" applyFill="1" applyBorder="1" applyAlignment="1">
      <alignment horizontal="left" vertical="center" wrapText="1"/>
    </xf>
    <xf numFmtId="164" fontId="4" fillId="0" borderId="30" xfId="3" applyNumberFormat="1" applyFont="1" applyBorder="1" applyAlignment="1">
      <alignment vertical="center"/>
    </xf>
    <xf numFmtId="164" fontId="4" fillId="0" borderId="22" xfId="3" applyNumberFormat="1" applyFont="1" applyFill="1" applyBorder="1"/>
    <xf numFmtId="164" fontId="4" fillId="0" borderId="76" xfId="3" applyNumberFormat="1" applyFont="1" applyBorder="1" applyAlignment="1">
      <alignment vertical="center"/>
    </xf>
    <xf numFmtId="0" fontId="27" fillId="6" borderId="63" xfId="0" applyFont="1" applyFill="1" applyBorder="1" applyAlignment="1">
      <alignment vertical="top" wrapText="1"/>
    </xf>
    <xf numFmtId="0" fontId="27" fillId="6" borderId="75" xfId="0" applyFont="1" applyFill="1" applyBorder="1" applyAlignment="1">
      <alignment vertical="top" wrapText="1"/>
    </xf>
    <xf numFmtId="164" fontId="4" fillId="0" borderId="30" xfId="5" applyNumberFormat="1" applyFont="1" applyFill="1" applyBorder="1" applyAlignment="1">
      <alignment vertical="center"/>
    </xf>
    <xf numFmtId="164" fontId="4" fillId="0" borderId="45" xfId="5" applyNumberFormat="1" applyFont="1" applyFill="1" applyBorder="1" applyAlignment="1">
      <alignment vertical="center"/>
    </xf>
    <xf numFmtId="164" fontId="4" fillId="0" borderId="33" xfId="5" applyNumberFormat="1" applyFont="1" applyFill="1" applyBorder="1" applyAlignment="1">
      <alignment vertical="center"/>
    </xf>
    <xf numFmtId="0" fontId="4" fillId="0" borderId="33" xfId="5" applyFont="1" applyFill="1" applyBorder="1" applyAlignment="1">
      <alignment vertical="center"/>
    </xf>
    <xf numFmtId="10" fontId="4" fillId="0" borderId="45" xfId="7" applyNumberFormat="1" applyFont="1" applyFill="1" applyBorder="1" applyAlignment="1">
      <alignment vertical="center"/>
    </xf>
    <xf numFmtId="169" fontId="27" fillId="0" borderId="45" xfId="0" applyNumberFormat="1" applyFont="1" applyBorder="1"/>
    <xf numFmtId="169" fontId="27" fillId="0" borderId="33" xfId="0" applyNumberFormat="1" applyFont="1" applyBorder="1"/>
    <xf numFmtId="166" fontId="4" fillId="6" borderId="2" xfId="1" applyNumberFormat="1" applyFont="1" applyFill="1" applyBorder="1" applyAlignment="1">
      <alignment horizontal="right"/>
    </xf>
    <xf numFmtId="166" fontId="4" fillId="6" borderId="3" xfId="1" applyNumberFormat="1" applyFont="1" applyFill="1" applyBorder="1" applyAlignment="1">
      <alignment horizontal="right"/>
    </xf>
    <xf numFmtId="166" fontId="4" fillId="6" borderId="49" xfId="1" applyNumberFormat="1" applyFont="1" applyFill="1" applyBorder="1" applyAlignment="1">
      <alignment horizontal="right"/>
    </xf>
    <xf numFmtId="166" fontId="4" fillId="6" borderId="4" xfId="1" applyNumberFormat="1" applyFont="1" applyFill="1" applyBorder="1" applyAlignment="1">
      <alignment horizontal="right"/>
    </xf>
    <xf numFmtId="166" fontId="4" fillId="6" borderId="5" xfId="1" applyNumberFormat="1" applyFont="1" applyFill="1" applyBorder="1" applyAlignment="1">
      <alignment horizontal="right"/>
    </xf>
    <xf numFmtId="166" fontId="4" fillId="6" borderId="50" xfId="1" applyNumberFormat="1" applyFont="1" applyFill="1" applyBorder="1" applyAlignment="1">
      <alignment horizontal="right"/>
    </xf>
    <xf numFmtId="166" fontId="4" fillId="6" borderId="51" xfId="1" applyNumberFormat="1" applyFont="1" applyFill="1" applyBorder="1" applyAlignment="1">
      <alignment horizontal="right"/>
    </xf>
    <xf numFmtId="166" fontId="4" fillId="6" borderId="67" xfId="1" applyNumberFormat="1" applyFont="1" applyFill="1" applyBorder="1" applyAlignment="1">
      <alignment horizontal="right"/>
    </xf>
    <xf numFmtId="166" fontId="4" fillId="6" borderId="68" xfId="1" applyNumberFormat="1" applyFont="1" applyFill="1" applyBorder="1" applyAlignment="1">
      <alignment horizontal="right"/>
    </xf>
    <xf numFmtId="168" fontId="6" fillId="0" borderId="10" xfId="3" applyNumberFormat="1" applyFont="1" applyFill="1" applyBorder="1" applyAlignment="1">
      <alignment vertical="center"/>
    </xf>
    <xf numFmtId="166" fontId="4" fillId="0" borderId="14" xfId="6" applyNumberFormat="1" applyFont="1" applyBorder="1"/>
    <xf numFmtId="166" fontId="4" fillId="0" borderId="3" xfId="6" applyNumberFormat="1" applyFont="1" applyBorder="1"/>
    <xf numFmtId="166" fontId="4" fillId="0" borderId="5" xfId="6" applyNumberFormat="1" applyFont="1" applyBorder="1"/>
    <xf numFmtId="164" fontId="4" fillId="0" borderId="0" xfId="5" applyNumberFormat="1" applyFont="1" applyFill="1" applyBorder="1" applyAlignment="1">
      <alignment vertical="center"/>
    </xf>
    <xf numFmtId="0" fontId="4" fillId="0" borderId="72" xfId="5" applyFont="1" applyFill="1" applyBorder="1" applyAlignment="1">
      <alignment vertical="center"/>
    </xf>
    <xf numFmtId="164" fontId="4" fillId="0" borderId="63" xfId="5" applyNumberFormat="1" applyFont="1" applyFill="1" applyBorder="1" applyAlignment="1">
      <alignment vertical="center"/>
    </xf>
    <xf numFmtId="168" fontId="4" fillId="0" borderId="73" xfId="9" applyNumberFormat="1" applyFont="1" applyFill="1" applyBorder="1" applyAlignment="1">
      <alignment vertical="center"/>
    </xf>
    <xf numFmtId="168" fontId="4" fillId="0" borderId="53" xfId="9" applyNumberFormat="1" applyFont="1" applyFill="1" applyBorder="1" applyAlignment="1">
      <alignment vertical="center"/>
    </xf>
    <xf numFmtId="169" fontId="27" fillId="0" borderId="5" xfId="0" applyNumberFormat="1" applyFont="1" applyBorder="1"/>
    <xf numFmtId="164" fontId="4" fillId="6" borderId="63" xfId="3" applyNumberFormat="1" applyFont="1" applyFill="1" applyBorder="1" applyAlignment="1">
      <alignment vertical="center"/>
    </xf>
    <xf numFmtId="164" fontId="4" fillId="6" borderId="63" xfId="3" applyNumberFormat="1" applyFont="1" applyFill="1" applyBorder="1" applyAlignment="1">
      <alignment horizontal="center" vertical="center" wrapText="1"/>
    </xf>
    <xf numFmtId="168" fontId="4" fillId="6" borderId="63" xfId="3" applyNumberFormat="1" applyFont="1" applyFill="1" applyBorder="1" applyAlignment="1">
      <alignment vertical="center"/>
    </xf>
    <xf numFmtId="168" fontId="4" fillId="6" borderId="53" xfId="3" applyNumberFormat="1" applyFont="1" applyFill="1" applyBorder="1" applyAlignment="1">
      <alignment vertical="center"/>
    </xf>
    <xf numFmtId="164" fontId="4" fillId="6" borderId="63" xfId="3" applyNumberFormat="1" applyFont="1" applyFill="1" applyBorder="1" applyAlignment="1">
      <alignment horizontal="left" vertical="center"/>
    </xf>
    <xf numFmtId="0" fontId="27" fillId="0" borderId="5" xfId="0" applyFont="1" applyBorder="1"/>
    <xf numFmtId="164" fontId="4" fillId="7" borderId="30" xfId="5" applyNumberFormat="1" applyFont="1" applyFill="1" applyBorder="1" applyAlignment="1">
      <alignment vertical="center"/>
    </xf>
    <xf numFmtId="0" fontId="27" fillId="0" borderId="3" xfId="0" applyFont="1" applyBorder="1"/>
    <xf numFmtId="164" fontId="4" fillId="10" borderId="30" xfId="5" applyNumberFormat="1" applyFont="1" applyFill="1" applyBorder="1" applyAlignment="1">
      <alignment vertical="center"/>
    </xf>
    <xf numFmtId="164" fontId="4" fillId="7" borderId="0" xfId="5" applyNumberFormat="1" applyFont="1" applyFill="1" applyBorder="1" applyAlignment="1">
      <alignment vertical="center"/>
    </xf>
    <xf numFmtId="164" fontId="4" fillId="7" borderId="45" xfId="5" applyNumberFormat="1" applyFont="1" applyFill="1" applyBorder="1" applyAlignment="1">
      <alignment vertical="center"/>
    </xf>
    <xf numFmtId="0" fontId="27" fillId="0" borderId="4" xfId="0" applyFont="1" applyBorder="1"/>
    <xf numFmtId="164" fontId="4" fillId="7" borderId="33" xfId="5" applyNumberFormat="1" applyFont="1" applyFill="1" applyBorder="1" applyAlignment="1">
      <alignment vertical="center"/>
    </xf>
    <xf numFmtId="0" fontId="27" fillId="0" borderId="14" xfId="0" applyFont="1" applyBorder="1"/>
    <xf numFmtId="0" fontId="27" fillId="0" borderId="17" xfId="0" applyFont="1" applyBorder="1"/>
    <xf numFmtId="10" fontId="16" fillId="12" borderId="28" xfId="2" applyNumberFormat="1" applyFont="1" applyFill="1" applyBorder="1"/>
    <xf numFmtId="164" fontId="2" fillId="12" borderId="28" xfId="1" applyNumberFormat="1" applyFont="1" applyFill="1" applyBorder="1" applyAlignment="1">
      <alignment horizontal="left" vertical="center" wrapText="1"/>
    </xf>
    <xf numFmtId="0" fontId="4" fillId="0" borderId="44" xfId="5" applyFont="1" applyFill="1" applyBorder="1" applyAlignment="1">
      <alignment vertical="center"/>
    </xf>
    <xf numFmtId="164" fontId="4" fillId="0" borderId="44" xfId="5" applyNumberFormat="1" applyFont="1" applyFill="1" applyBorder="1" applyAlignment="1">
      <alignment vertical="center"/>
    </xf>
    <xf numFmtId="164" fontId="4" fillId="0" borderId="44" xfId="3" applyNumberFormat="1" applyFont="1" applyFill="1" applyBorder="1" applyAlignment="1">
      <alignment vertical="center"/>
    </xf>
    <xf numFmtId="164" fontId="4" fillId="7" borderId="44" xfId="5" applyNumberFormat="1" applyFont="1" applyFill="1" applyBorder="1" applyAlignment="1">
      <alignment vertical="center"/>
    </xf>
    <xf numFmtId="169" fontId="27" fillId="0" borderId="44" xfId="0" applyNumberFormat="1" applyFont="1" applyBorder="1"/>
    <xf numFmtId="0" fontId="6" fillId="0" borderId="28" xfId="4" applyFont="1" applyFill="1" applyBorder="1" applyAlignment="1">
      <alignment horizontal="center" vertical="center"/>
    </xf>
    <xf numFmtId="164" fontId="6" fillId="0" borderId="28" xfId="3" applyNumberFormat="1" applyFont="1" applyFill="1" applyBorder="1" applyAlignment="1">
      <alignment vertical="center"/>
    </xf>
    <xf numFmtId="164" fontId="4" fillId="0" borderId="28" xfId="3" applyNumberFormat="1" applyFont="1" applyBorder="1" applyAlignment="1">
      <alignment vertical="center"/>
    </xf>
    <xf numFmtId="164" fontId="4" fillId="5" borderId="14" xfId="3" applyNumberFormat="1" applyFont="1" applyFill="1" applyBorder="1" applyAlignment="1">
      <alignment horizontal="center" vertical="center"/>
    </xf>
    <xf numFmtId="164" fontId="6" fillId="5" borderId="17" xfId="3" applyNumberFormat="1" applyFont="1" applyFill="1" applyBorder="1" applyAlignment="1">
      <alignment horizontal="center" vertical="center"/>
    </xf>
    <xf numFmtId="164" fontId="6" fillId="5" borderId="18" xfId="3" applyNumberFormat="1" applyFont="1" applyFill="1" applyBorder="1" applyAlignment="1">
      <alignment horizontal="center" vertical="center"/>
    </xf>
    <xf numFmtId="0" fontId="4" fillId="0" borderId="17" xfId="5" applyFont="1" applyFill="1" applyBorder="1" applyAlignment="1">
      <alignment vertical="center"/>
    </xf>
    <xf numFmtId="10" fontId="22" fillId="23" borderId="8" xfId="7" applyNumberFormat="1" applyFont="1" applyFill="1" applyBorder="1" applyAlignment="1">
      <alignment horizontal="right" vertical="center"/>
    </xf>
    <xf numFmtId="9" fontId="4" fillId="23" borderId="9" xfId="10" applyNumberFormat="1" applyFont="1" applyFill="1" applyBorder="1" applyAlignment="1">
      <alignment horizontal="center" vertical="center"/>
    </xf>
    <xf numFmtId="10" fontId="0" fillId="23" borderId="0" xfId="2" applyNumberFormat="1" applyFont="1" applyFill="1"/>
    <xf numFmtId="10" fontId="4" fillId="23" borderId="33" xfId="7" applyNumberFormat="1" applyFont="1" applyFill="1" applyBorder="1" applyAlignment="1">
      <alignment vertical="center"/>
    </xf>
    <xf numFmtId="10" fontId="4" fillId="23" borderId="43" xfId="7" applyNumberFormat="1" applyFont="1" applyFill="1" applyBorder="1" applyAlignment="1">
      <alignment vertical="center"/>
    </xf>
    <xf numFmtId="10" fontId="4" fillId="23" borderId="56" xfId="7" applyNumberFormat="1" applyFont="1" applyFill="1" applyBorder="1" applyAlignment="1">
      <alignment vertical="center"/>
    </xf>
    <xf numFmtId="0" fontId="4" fillId="0" borderId="16" xfId="3" applyNumberFormat="1" applyFont="1" applyFill="1" applyBorder="1" applyAlignment="1">
      <alignment horizontal="left" wrapText="1"/>
    </xf>
    <xf numFmtId="164" fontId="2" fillId="2" borderId="28" xfId="1" applyNumberFormat="1" applyFont="1" applyFill="1" applyBorder="1" applyAlignment="1">
      <alignment horizontal="center" vertical="center"/>
    </xf>
    <xf numFmtId="0" fontId="16" fillId="6" borderId="0" xfId="0" applyFont="1" applyFill="1"/>
    <xf numFmtId="0" fontId="16" fillId="6" borderId="6" xfId="0" applyFont="1" applyFill="1" applyBorder="1"/>
    <xf numFmtId="168" fontId="4" fillId="0" borderId="0" xfId="3" applyNumberFormat="1" applyFont="1" applyAlignment="1">
      <alignment horizontal="center" vertical="center" wrapText="1"/>
    </xf>
    <xf numFmtId="164" fontId="6" fillId="5" borderId="17" xfId="3" applyNumberFormat="1" applyFont="1" applyFill="1" applyBorder="1" applyAlignment="1">
      <alignment horizontal="center" vertical="center" wrapText="1"/>
    </xf>
    <xf numFmtId="164" fontId="4" fillId="0" borderId="77" xfId="3" applyNumberFormat="1" applyFont="1" applyFill="1" applyBorder="1" applyAlignment="1">
      <alignment vertical="center"/>
    </xf>
    <xf numFmtId="164" fontId="4" fillId="0" borderId="73" xfId="3" applyNumberFormat="1" applyFont="1" applyFill="1" applyBorder="1" applyAlignment="1">
      <alignment vertical="center" wrapText="1"/>
    </xf>
    <xf numFmtId="164" fontId="4" fillId="0" borderId="73" xfId="3" applyNumberFormat="1" applyFont="1" applyFill="1" applyBorder="1" applyAlignment="1">
      <alignment vertical="center"/>
    </xf>
    <xf numFmtId="164" fontId="4" fillId="0" borderId="73" xfId="3" applyNumberFormat="1" applyFont="1" applyFill="1" applyBorder="1" applyAlignment="1">
      <alignment horizontal="left" vertical="center"/>
    </xf>
    <xf numFmtId="166" fontId="4" fillId="0" borderId="18" xfId="6" applyNumberFormat="1" applyFont="1" applyBorder="1"/>
    <xf numFmtId="168" fontId="4" fillId="0" borderId="31" xfId="3" applyNumberFormat="1" applyFont="1" applyFill="1" applyBorder="1" applyAlignment="1">
      <alignment vertical="center"/>
    </xf>
    <xf numFmtId="164" fontId="4" fillId="0" borderId="17" xfId="5" applyNumberFormat="1" applyFont="1" applyFill="1" applyBorder="1" applyAlignment="1">
      <alignment vertical="center"/>
    </xf>
    <xf numFmtId="164" fontId="4" fillId="0" borderId="17" xfId="3" applyNumberFormat="1" applyFont="1" applyFill="1" applyBorder="1" applyAlignment="1">
      <alignment vertical="center"/>
    </xf>
    <xf numFmtId="164" fontId="4" fillId="7" borderId="17" xfId="5" applyNumberFormat="1" applyFont="1" applyFill="1" applyBorder="1" applyAlignment="1">
      <alignment vertical="center"/>
    </xf>
    <xf numFmtId="169" fontId="27" fillId="0" borderId="17" xfId="0" applyNumberFormat="1" applyFont="1" applyBorder="1"/>
    <xf numFmtId="2" fontId="0" fillId="24" borderId="8" xfId="0" applyNumberFormat="1" applyFill="1" applyBorder="1" applyAlignment="1">
      <alignment horizontal="center" vertical="center"/>
    </xf>
    <xf numFmtId="2" fontId="0" fillId="26" borderId="8" xfId="0" applyNumberFormat="1" applyFill="1" applyBorder="1" applyAlignment="1">
      <alignment horizontal="center" vertical="center"/>
    </xf>
    <xf numFmtId="171" fontId="0" fillId="0" borderId="66" xfId="0" applyNumberFormat="1" applyBorder="1"/>
    <xf numFmtId="171" fontId="0" fillId="0" borderId="30" xfId="0" applyNumberFormat="1" applyBorder="1"/>
    <xf numFmtId="0" fontId="15" fillId="13" borderId="17" xfId="0" applyFont="1" applyFill="1" applyBorder="1" applyAlignment="1">
      <alignment horizontal="center" vertical="center"/>
    </xf>
    <xf numFmtId="0" fontId="3" fillId="0" borderId="17" xfId="3" applyNumberFormat="1" applyFont="1" applyFill="1" applyBorder="1" applyAlignment="1">
      <alignment horizontal="left"/>
    </xf>
    <xf numFmtId="168" fontId="3" fillId="0" borderId="17" xfId="3" applyNumberFormat="1" applyFont="1" applyFill="1" applyBorder="1" applyAlignment="1">
      <alignment vertical="center"/>
    </xf>
    <xf numFmtId="0" fontId="0" fillId="26" borderId="8" xfId="0" applyFill="1" applyBorder="1" applyAlignment="1">
      <alignment horizontal="center" vertical="center"/>
    </xf>
    <xf numFmtId="171" fontId="0" fillId="0" borderId="21" xfId="0" applyNumberFormat="1" applyBorder="1"/>
    <xf numFmtId="171" fontId="0" fillId="0" borderId="22" xfId="0" applyNumberFormat="1" applyBorder="1"/>
    <xf numFmtId="10" fontId="16" fillId="25" borderId="28" xfId="2" applyNumberFormat="1" applyFont="1" applyFill="1" applyBorder="1"/>
    <xf numFmtId="171" fontId="0" fillId="0" borderId="17" xfId="0" applyNumberFormat="1" applyBorder="1"/>
    <xf numFmtId="168" fontId="3" fillId="6" borderId="18" xfId="3" applyNumberFormat="1" applyFont="1" applyFill="1" applyBorder="1" applyAlignment="1">
      <alignment vertical="center"/>
    </xf>
    <xf numFmtId="168" fontId="18" fillId="6" borderId="22" xfId="3" applyNumberFormat="1" applyFont="1" applyFill="1" applyBorder="1" applyAlignment="1">
      <alignment horizontal="left" vertical="center"/>
    </xf>
    <xf numFmtId="168" fontId="18" fillId="6" borderId="22" xfId="3" applyNumberFormat="1" applyFont="1" applyFill="1" applyBorder="1" applyAlignment="1">
      <alignment vertical="center"/>
    </xf>
    <xf numFmtId="164" fontId="4" fillId="25" borderId="69" xfId="3" applyNumberFormat="1" applyFont="1" applyFill="1" applyBorder="1" applyAlignment="1">
      <alignment vertical="center"/>
    </xf>
    <xf numFmtId="164" fontId="4" fillId="25" borderId="70" xfId="3" applyNumberFormat="1" applyFont="1" applyFill="1" applyBorder="1" applyAlignment="1">
      <alignment vertical="center" wrapText="1"/>
    </xf>
    <xf numFmtId="164" fontId="4" fillId="25" borderId="70" xfId="3" applyNumberFormat="1" applyFont="1" applyFill="1" applyBorder="1" applyAlignment="1">
      <alignment vertical="center"/>
    </xf>
    <xf numFmtId="0" fontId="0" fillId="25" borderId="14" xfId="0" applyFill="1" applyBorder="1"/>
    <xf numFmtId="0" fontId="4" fillId="25" borderId="22" xfId="3" applyNumberFormat="1" applyFont="1" applyFill="1" applyBorder="1" applyAlignment="1">
      <alignment horizontal="left" wrapText="1"/>
    </xf>
    <xf numFmtId="168" fontId="4" fillId="25" borderId="20" xfId="3" applyNumberFormat="1" applyFont="1" applyFill="1" applyBorder="1" applyAlignment="1">
      <alignment vertical="center"/>
    </xf>
    <xf numFmtId="168" fontId="6" fillId="25" borderId="22" xfId="3" applyNumberFormat="1" applyFont="1" applyFill="1" applyBorder="1" applyAlignment="1">
      <alignment vertical="center"/>
    </xf>
    <xf numFmtId="0" fontId="4" fillId="25" borderId="72" xfId="5" applyFont="1" applyFill="1" applyBorder="1" applyAlignment="1">
      <alignment vertical="center"/>
    </xf>
    <xf numFmtId="164" fontId="4" fillId="25" borderId="63" xfId="5" applyNumberFormat="1" applyFont="1" applyFill="1" applyBorder="1" applyAlignment="1">
      <alignment vertical="center"/>
    </xf>
    <xf numFmtId="164" fontId="4" fillId="25" borderId="63" xfId="3" applyNumberFormat="1" applyFont="1" applyFill="1" applyBorder="1" applyAlignment="1">
      <alignment vertical="center"/>
    </xf>
    <xf numFmtId="0" fontId="0" fillId="25" borderId="17" xfId="0" applyFill="1" applyBorder="1"/>
    <xf numFmtId="166" fontId="4" fillId="25" borderId="17" xfId="6" applyNumberFormat="1" applyFont="1" applyFill="1" applyBorder="1"/>
    <xf numFmtId="168" fontId="4" fillId="25" borderId="22" xfId="3" applyNumberFormat="1" applyFont="1" applyFill="1" applyBorder="1" applyAlignment="1">
      <alignment vertical="center"/>
    </xf>
    <xf numFmtId="164" fontId="4" fillId="25" borderId="63" xfId="15" applyNumberFormat="1" applyFont="1" applyFill="1" applyBorder="1" applyAlignment="1">
      <alignment vertical="center"/>
    </xf>
    <xf numFmtId="166" fontId="4" fillId="25" borderId="18" xfId="6" applyNumberFormat="1" applyFont="1" applyFill="1" applyBorder="1"/>
    <xf numFmtId="168" fontId="4" fillId="25" borderId="31" xfId="3" applyNumberFormat="1" applyFont="1" applyFill="1" applyBorder="1" applyAlignment="1">
      <alignment vertical="center"/>
    </xf>
    <xf numFmtId="0" fontId="6" fillId="25" borderId="25" xfId="4" applyFont="1" applyFill="1" applyBorder="1" applyAlignment="1">
      <alignment horizontal="center" vertical="center"/>
    </xf>
    <xf numFmtId="164" fontId="6" fillId="25" borderId="25" xfId="3" applyNumberFormat="1" applyFont="1" applyFill="1" applyBorder="1" applyAlignment="1">
      <alignment vertical="center"/>
    </xf>
    <xf numFmtId="164" fontId="6" fillId="25" borderId="27" xfId="3" applyNumberFormat="1" applyFont="1" applyFill="1" applyBorder="1" applyAlignment="1">
      <alignment vertical="center"/>
    </xf>
    <xf numFmtId="168" fontId="6" fillId="25" borderId="28" xfId="3" applyNumberFormat="1" applyFont="1" applyFill="1" applyBorder="1" applyAlignment="1">
      <alignment vertical="center"/>
    </xf>
    <xf numFmtId="0" fontId="4" fillId="25" borderId="28" xfId="3" applyNumberFormat="1" applyFont="1" applyFill="1" applyBorder="1" applyAlignment="1">
      <alignment horizontal="center" vertical="center" wrapText="1"/>
    </xf>
    <xf numFmtId="0" fontId="4" fillId="25" borderId="28" xfId="3" applyNumberFormat="1" applyFont="1" applyFill="1" applyBorder="1" applyAlignment="1">
      <alignment horizontal="left" vertical="center" wrapText="1"/>
    </xf>
    <xf numFmtId="2" fontId="0" fillId="24" borderId="34" xfId="0" applyNumberFormat="1" applyFill="1" applyBorder="1" applyAlignment="1">
      <alignment horizontal="center" vertical="center"/>
    </xf>
    <xf numFmtId="171" fontId="0" fillId="0" borderId="76" xfId="0" applyNumberFormat="1" applyBorder="1"/>
    <xf numFmtId="171" fontId="0" fillId="0" borderId="23" xfId="0" applyNumberFormat="1" applyBorder="1"/>
    <xf numFmtId="2" fontId="0" fillId="27" borderId="35" xfId="0" applyNumberFormat="1" applyFill="1" applyBorder="1" applyAlignment="1">
      <alignment horizontal="center" vertical="center"/>
    </xf>
    <xf numFmtId="164" fontId="3" fillId="27" borderId="20" xfId="3" applyNumberFormat="1" applyFont="1" applyFill="1" applyBorder="1" applyAlignment="1">
      <alignment vertical="center"/>
    </xf>
    <xf numFmtId="171" fontId="0" fillId="27" borderId="14" xfId="0" applyNumberFormat="1" applyFill="1" applyBorder="1"/>
    <xf numFmtId="2" fontId="0" fillId="27" borderId="65" xfId="0" applyNumberFormat="1" applyFill="1" applyBorder="1" applyAlignment="1">
      <alignment horizontal="center" vertical="center"/>
    </xf>
    <xf numFmtId="164" fontId="3" fillId="27" borderId="31" xfId="3" applyNumberFormat="1" applyFont="1" applyFill="1" applyBorder="1" applyAlignment="1">
      <alignment vertical="center"/>
    </xf>
    <xf numFmtId="171" fontId="0" fillId="27" borderId="18" xfId="0" applyNumberFormat="1" applyFill="1" applyBorder="1"/>
    <xf numFmtId="0" fontId="3" fillId="0" borderId="23" xfId="3" applyNumberFormat="1" applyFont="1" applyFill="1" applyBorder="1" applyAlignment="1">
      <alignment horizontal="left"/>
    </xf>
    <xf numFmtId="168" fontId="3" fillId="0" borderId="23" xfId="3" applyNumberFormat="1" applyFont="1" applyFill="1" applyBorder="1" applyAlignment="1">
      <alignment vertical="center"/>
    </xf>
    <xf numFmtId="168" fontId="2" fillId="0" borderId="23" xfId="3" applyNumberFormat="1" applyFont="1" applyFill="1" applyBorder="1"/>
    <xf numFmtId="0" fontId="3" fillId="27" borderId="20" xfId="3" applyNumberFormat="1" applyFont="1" applyFill="1" applyBorder="1" applyAlignment="1">
      <alignment horizontal="center" vertical="center" wrapText="1"/>
    </xf>
    <xf numFmtId="0" fontId="3" fillId="27" borderId="20" xfId="3" applyNumberFormat="1" applyFont="1" applyFill="1" applyBorder="1" applyAlignment="1">
      <alignment horizontal="left"/>
    </xf>
    <xf numFmtId="168" fontId="3" fillId="27" borderId="20" xfId="3" applyNumberFormat="1" applyFont="1" applyFill="1" applyBorder="1" applyAlignment="1">
      <alignment vertical="center"/>
    </xf>
    <xf numFmtId="168" fontId="2" fillId="27" borderId="20" xfId="3" applyNumberFormat="1" applyFont="1" applyFill="1" applyBorder="1"/>
    <xf numFmtId="0" fontId="3" fillId="27" borderId="31" xfId="3" applyNumberFormat="1" applyFont="1" applyFill="1" applyBorder="1" applyAlignment="1">
      <alignment horizontal="center" vertical="center" wrapText="1"/>
    </xf>
    <xf numFmtId="0" fontId="3" fillId="27" borderId="31" xfId="3" applyNumberFormat="1" applyFont="1" applyFill="1" applyBorder="1" applyAlignment="1">
      <alignment horizontal="left"/>
    </xf>
    <xf numFmtId="168" fontId="3" fillId="27" borderId="31" xfId="3" applyNumberFormat="1" applyFont="1" applyFill="1" applyBorder="1" applyAlignment="1">
      <alignment vertical="center"/>
    </xf>
    <xf numFmtId="168" fontId="2" fillId="27" borderId="31" xfId="3" applyNumberFormat="1" applyFont="1" applyFill="1" applyBorder="1"/>
    <xf numFmtId="169" fontId="0" fillId="0" borderId="0" xfId="0" applyNumberFormat="1"/>
    <xf numFmtId="164" fontId="4" fillId="25" borderId="78" xfId="3" applyNumberFormat="1" applyFont="1" applyFill="1" applyBorder="1" applyAlignment="1">
      <alignment horizontal="left" vertical="center"/>
    </xf>
    <xf numFmtId="164" fontId="4" fillId="25" borderId="79" xfId="3" applyNumberFormat="1" applyFont="1" applyFill="1" applyBorder="1" applyAlignment="1">
      <alignment horizontal="center" vertical="center" wrapText="1"/>
    </xf>
    <xf numFmtId="164" fontId="4" fillId="25" borderId="25" xfId="3" applyNumberFormat="1" applyFont="1" applyFill="1" applyBorder="1" applyAlignment="1">
      <alignment horizontal="center" vertical="center" wrapText="1"/>
    </xf>
    <xf numFmtId="169" fontId="27" fillId="25" borderId="22" xfId="0" applyNumberFormat="1" applyFont="1" applyFill="1" applyBorder="1"/>
    <xf numFmtId="171" fontId="27" fillId="25" borderId="22" xfId="0" applyNumberFormat="1" applyFont="1" applyFill="1" applyBorder="1"/>
    <xf numFmtId="168" fontId="4" fillId="0" borderId="78" xfId="3" applyNumberFormat="1" applyFont="1" applyFill="1" applyBorder="1" applyAlignment="1">
      <alignment vertical="center"/>
    </xf>
    <xf numFmtId="168" fontId="4" fillId="0" borderId="80" xfId="3" applyNumberFormat="1" applyFont="1" applyFill="1" applyBorder="1" applyAlignment="1">
      <alignment vertical="center"/>
    </xf>
    <xf numFmtId="169" fontId="27" fillId="0" borderId="79" xfId="0" applyNumberFormat="1" applyFont="1" applyBorder="1"/>
    <xf numFmtId="171" fontId="27" fillId="0" borderId="79" xfId="0" applyNumberFormat="1" applyFont="1" applyBorder="1"/>
    <xf numFmtId="164" fontId="2" fillId="25" borderId="28" xfId="1" applyNumberFormat="1" applyFont="1" applyFill="1" applyBorder="1" applyAlignment="1">
      <alignment horizontal="left" vertical="center" wrapText="1"/>
    </xf>
    <xf numFmtId="164" fontId="19" fillId="11" borderId="28" xfId="1" applyNumberFormat="1" applyFont="1" applyFill="1" applyBorder="1" applyAlignment="1">
      <alignment horizontal="left" vertical="center" wrapText="1"/>
    </xf>
    <xf numFmtId="164" fontId="2" fillId="2" borderId="14" xfId="1" applyNumberFormat="1" applyFont="1" applyFill="1" applyBorder="1" applyAlignment="1">
      <alignment horizontal="center" vertical="center" wrapText="1"/>
    </xf>
    <xf numFmtId="0" fontId="16" fillId="6" borderId="0" xfId="0" applyFont="1" applyFill="1" applyAlignment="1"/>
    <xf numFmtId="0" fontId="16" fillId="6" borderId="13" xfId="0" applyFont="1" applyFill="1" applyBorder="1" applyAlignment="1"/>
    <xf numFmtId="164" fontId="2" fillId="2" borderId="49" xfId="1" applyNumberFormat="1" applyFont="1" applyFill="1" applyBorder="1" applyAlignment="1">
      <alignment horizontal="center" vertical="center" wrapText="1"/>
    </xf>
    <xf numFmtId="0" fontId="3" fillId="6" borderId="23" xfId="3" applyNumberFormat="1" applyFont="1" applyFill="1" applyBorder="1" applyAlignment="1">
      <alignment horizontal="left"/>
    </xf>
    <xf numFmtId="164" fontId="4" fillId="0" borderId="19" xfId="3" applyNumberFormat="1" applyFont="1" applyFill="1" applyBorder="1" applyAlignment="1">
      <alignment vertical="center"/>
    </xf>
    <xf numFmtId="0" fontId="27" fillId="6" borderId="0" xfId="0" applyFont="1" applyFill="1" applyBorder="1" applyAlignment="1">
      <alignment vertical="top" wrapText="1"/>
    </xf>
    <xf numFmtId="166" fontId="7" fillId="2" borderId="45" xfId="1" applyNumberFormat="1" applyFont="1" applyFill="1" applyBorder="1" applyAlignment="1">
      <alignment vertical="center"/>
    </xf>
    <xf numFmtId="164" fontId="7" fillId="12" borderId="43" xfId="1" applyNumberFormat="1" applyFont="1" applyFill="1" applyBorder="1" applyAlignment="1">
      <alignment wrapText="1"/>
    </xf>
    <xf numFmtId="166" fontId="10" fillId="12" borderId="33" xfId="1" applyNumberFormat="1" applyFont="1" applyFill="1" applyBorder="1" applyAlignment="1">
      <alignment horizontal="right"/>
    </xf>
    <xf numFmtId="166" fontId="10" fillId="25" borderId="33" xfId="1" applyNumberFormat="1" applyFont="1" applyFill="1" applyBorder="1" applyAlignment="1">
      <alignment horizontal="right"/>
    </xf>
    <xf numFmtId="166" fontId="10" fillId="6" borderId="17" xfId="1" applyNumberFormat="1" applyFont="1" applyFill="1" applyBorder="1" applyAlignment="1">
      <alignment horizontal="right"/>
    </xf>
    <xf numFmtId="166" fontId="7" fillId="12" borderId="28" xfId="1" applyNumberFormat="1" applyFont="1" applyFill="1" applyBorder="1" applyAlignment="1">
      <alignment horizontal="right"/>
    </xf>
    <xf numFmtId="10" fontId="7" fillId="25" borderId="28" xfId="2" applyNumberFormat="1" applyFont="1" applyFill="1" applyBorder="1" applyAlignment="1">
      <alignment horizontal="right"/>
    </xf>
    <xf numFmtId="166" fontId="28" fillId="11" borderId="28" xfId="1" applyNumberFormat="1" applyFont="1" applyFill="1" applyBorder="1" applyAlignment="1">
      <alignment horizontal="right"/>
    </xf>
    <xf numFmtId="164" fontId="7" fillId="12" borderId="28" xfId="1" applyNumberFormat="1" applyFont="1" applyFill="1" applyBorder="1" applyAlignment="1">
      <alignment horizontal="left" vertical="center" wrapText="1"/>
    </xf>
    <xf numFmtId="166" fontId="29" fillId="2" borderId="7" xfId="1" applyNumberFormat="1" applyFont="1" applyFill="1" applyBorder="1" applyAlignment="1">
      <alignment vertical="center"/>
    </xf>
    <xf numFmtId="166" fontId="29" fillId="2" borderId="35" xfId="1" applyNumberFormat="1" applyFont="1" applyFill="1" applyBorder="1" applyAlignment="1">
      <alignment vertical="center"/>
    </xf>
    <xf numFmtId="166" fontId="29" fillId="2" borderId="81" xfId="1" applyNumberFormat="1" applyFont="1" applyFill="1" applyBorder="1" applyAlignment="1">
      <alignment vertical="center"/>
    </xf>
    <xf numFmtId="166" fontId="29" fillId="2" borderId="45" xfId="1" applyNumberFormat="1" applyFont="1" applyFill="1" applyBorder="1" applyAlignment="1">
      <alignment vertical="center"/>
    </xf>
    <xf numFmtId="10" fontId="30" fillId="6" borderId="47" xfId="2" applyNumberFormat="1" applyFont="1" applyFill="1" applyBorder="1" applyAlignment="1">
      <alignment vertical="center" wrapText="1"/>
    </xf>
    <xf numFmtId="10" fontId="30" fillId="6" borderId="41" xfId="2" applyNumberFormat="1" applyFont="1" applyFill="1" applyBorder="1" applyAlignment="1">
      <alignment vertical="center" wrapText="1"/>
    </xf>
    <xf numFmtId="10" fontId="30" fillId="6" borderId="48" xfId="2" applyNumberFormat="1" applyFont="1" applyFill="1" applyBorder="1" applyAlignment="1">
      <alignment vertical="center" wrapText="1"/>
    </xf>
    <xf numFmtId="10" fontId="30" fillId="6" borderId="8" xfId="2" applyNumberFormat="1" applyFont="1" applyFill="1" applyBorder="1" applyAlignment="1">
      <alignment vertical="center" wrapText="1"/>
    </xf>
    <xf numFmtId="10" fontId="30" fillId="6" borderId="82" xfId="2" applyNumberFormat="1" applyFont="1" applyFill="1" applyBorder="1" applyAlignment="1">
      <alignment vertical="center" wrapText="1"/>
    </xf>
    <xf numFmtId="164" fontId="29" fillId="12" borderId="43" xfId="1" applyNumberFormat="1" applyFont="1" applyFill="1" applyBorder="1" applyAlignment="1">
      <alignment wrapText="1"/>
    </xf>
    <xf numFmtId="166" fontId="30" fillId="6" borderId="11" xfId="1" applyNumberFormat="1" applyFont="1" applyFill="1" applyBorder="1" applyAlignment="1">
      <alignment horizontal="right"/>
    </xf>
    <xf numFmtId="166" fontId="30" fillId="6" borderId="32" xfId="1" applyNumberFormat="1" applyFont="1" applyFill="1" applyBorder="1" applyAlignment="1">
      <alignment horizontal="right"/>
    </xf>
    <xf numFmtId="166" fontId="30" fillId="6" borderId="9" xfId="1" applyNumberFormat="1" applyFont="1" applyFill="1" applyBorder="1" applyAlignment="1">
      <alignment horizontal="right"/>
    </xf>
    <xf numFmtId="166" fontId="30" fillId="12" borderId="33" xfId="1" applyNumberFormat="1" applyFont="1" applyFill="1" applyBorder="1" applyAlignment="1">
      <alignment horizontal="right"/>
    </xf>
    <xf numFmtId="166" fontId="30" fillId="25" borderId="11" xfId="1" applyNumberFormat="1" applyFont="1" applyFill="1" applyBorder="1" applyAlignment="1">
      <alignment horizontal="right"/>
    </xf>
    <xf numFmtId="166" fontId="30" fillId="25" borderId="32" xfId="1" applyNumberFormat="1" applyFont="1" applyFill="1" applyBorder="1" applyAlignment="1">
      <alignment horizontal="right"/>
    </xf>
    <xf numFmtId="166" fontId="30" fillId="25" borderId="9" xfId="1" applyNumberFormat="1" applyFont="1" applyFill="1" applyBorder="1" applyAlignment="1">
      <alignment horizontal="right"/>
    </xf>
    <xf numFmtId="166" fontId="30" fillId="25" borderId="33" xfId="1" applyNumberFormat="1" applyFont="1" applyFill="1" applyBorder="1" applyAlignment="1">
      <alignment horizontal="right"/>
    </xf>
    <xf numFmtId="166" fontId="30" fillId="3" borderId="11" xfId="1" applyNumberFormat="1" applyFont="1" applyFill="1" applyBorder="1" applyAlignment="1">
      <alignment horizontal="right" vertical="center"/>
    </xf>
    <xf numFmtId="166" fontId="30" fillId="3" borderId="32" xfId="1" applyNumberFormat="1" applyFont="1" applyFill="1" applyBorder="1" applyAlignment="1">
      <alignment horizontal="right" vertical="center"/>
    </xf>
    <xf numFmtId="166" fontId="30" fillId="3" borderId="9" xfId="1" applyNumberFormat="1" applyFont="1" applyFill="1" applyBorder="1" applyAlignment="1">
      <alignment horizontal="right" vertical="center"/>
    </xf>
    <xf numFmtId="166" fontId="30" fillId="6" borderId="84" xfId="1" applyNumberFormat="1" applyFont="1" applyFill="1" applyBorder="1" applyAlignment="1">
      <alignment horizontal="right"/>
    </xf>
    <xf numFmtId="166" fontId="30" fillId="6" borderId="34" xfId="1" applyNumberFormat="1" applyFont="1" applyFill="1" applyBorder="1" applyAlignment="1">
      <alignment horizontal="right"/>
    </xf>
    <xf numFmtId="166" fontId="30" fillId="6" borderId="83" xfId="1" applyNumberFormat="1" applyFont="1" applyFill="1" applyBorder="1" applyAlignment="1">
      <alignment horizontal="right"/>
    </xf>
    <xf numFmtId="166" fontId="30" fillId="6" borderId="17" xfId="1" applyNumberFormat="1" applyFont="1" applyFill="1" applyBorder="1" applyAlignment="1">
      <alignment horizontal="right"/>
    </xf>
    <xf numFmtId="166" fontId="29" fillId="12" borderId="10" xfId="1" applyNumberFormat="1" applyFont="1" applyFill="1" applyBorder="1" applyAlignment="1">
      <alignment horizontal="right"/>
    </xf>
    <xf numFmtId="166" fontId="29" fillId="12" borderId="38" xfId="1" applyNumberFormat="1" applyFont="1" applyFill="1" applyBorder="1" applyAlignment="1">
      <alignment horizontal="right"/>
    </xf>
    <xf numFmtId="166" fontId="29" fillId="12" borderId="54" xfId="1" applyNumberFormat="1" applyFont="1" applyFill="1" applyBorder="1" applyAlignment="1">
      <alignment horizontal="right"/>
    </xf>
    <xf numFmtId="166" fontId="29" fillId="12" borderId="28" xfId="1" applyNumberFormat="1" applyFont="1" applyFill="1" applyBorder="1" applyAlignment="1">
      <alignment horizontal="right"/>
    </xf>
    <xf numFmtId="10" fontId="29" fillId="25" borderId="10" xfId="2" applyNumberFormat="1" applyFont="1" applyFill="1" applyBorder="1" applyAlignment="1">
      <alignment horizontal="right"/>
    </xf>
    <xf numFmtId="10" fontId="29" fillId="25" borderId="38" xfId="2" applyNumberFormat="1" applyFont="1" applyFill="1" applyBorder="1" applyAlignment="1">
      <alignment horizontal="right"/>
    </xf>
    <xf numFmtId="10" fontId="29" fillId="25" borderId="54" xfId="2" applyNumberFormat="1" applyFont="1" applyFill="1" applyBorder="1" applyAlignment="1">
      <alignment horizontal="right"/>
    </xf>
    <xf numFmtId="10" fontId="29" fillId="25" borderId="28" xfId="2" applyNumberFormat="1" applyFont="1" applyFill="1" applyBorder="1" applyAlignment="1">
      <alignment horizontal="right"/>
    </xf>
    <xf numFmtId="166" fontId="31" fillId="11" borderId="10" xfId="1" applyNumberFormat="1" applyFont="1" applyFill="1" applyBorder="1" applyAlignment="1">
      <alignment horizontal="right"/>
    </xf>
    <xf numFmtId="166" fontId="31" fillId="11" borderId="38" xfId="1" applyNumberFormat="1" applyFont="1" applyFill="1" applyBorder="1" applyAlignment="1">
      <alignment horizontal="right"/>
    </xf>
    <xf numFmtId="166" fontId="31" fillId="11" borderId="54" xfId="1" applyNumberFormat="1" applyFont="1" applyFill="1" applyBorder="1" applyAlignment="1">
      <alignment horizontal="right"/>
    </xf>
    <xf numFmtId="166" fontId="31" fillId="11" borderId="28" xfId="1" applyNumberFormat="1" applyFont="1" applyFill="1" applyBorder="1" applyAlignment="1">
      <alignment horizontal="right"/>
    </xf>
    <xf numFmtId="0" fontId="32" fillId="0" borderId="0" xfId="0" applyFont="1"/>
    <xf numFmtId="164" fontId="10" fillId="25" borderId="33" xfId="1" applyNumberFormat="1" applyFont="1" applyFill="1" applyBorder="1" applyAlignment="1">
      <alignment horizontal="left" vertical="center" wrapText="1"/>
    </xf>
    <xf numFmtId="164" fontId="28" fillId="11" borderId="28" xfId="1" applyNumberFormat="1" applyFont="1" applyFill="1" applyBorder="1" applyAlignment="1">
      <alignment horizontal="left" vertical="center" wrapText="1"/>
    </xf>
    <xf numFmtId="164" fontId="7" fillId="25" borderId="28" xfId="1" applyNumberFormat="1" applyFont="1" applyFill="1" applyBorder="1" applyAlignment="1">
      <alignment horizontal="left" vertical="center" wrapText="1"/>
    </xf>
    <xf numFmtId="166" fontId="10" fillId="2" borderId="45" xfId="1" applyNumberFormat="1" applyFont="1" applyFill="1" applyBorder="1" applyAlignment="1">
      <alignment vertical="center"/>
    </xf>
    <xf numFmtId="164" fontId="7" fillId="6" borderId="43" xfId="1" applyNumberFormat="1" applyFont="1" applyFill="1" applyBorder="1" applyAlignment="1">
      <alignment vertical="center" wrapText="1"/>
    </xf>
    <xf numFmtId="164" fontId="10" fillId="6" borderId="33" xfId="1" applyNumberFormat="1" applyFont="1" applyFill="1" applyBorder="1" applyAlignment="1">
      <alignment horizontal="left" vertical="center" wrapText="1"/>
    </xf>
    <xf numFmtId="164" fontId="10" fillId="3" borderId="33" xfId="1" applyNumberFormat="1" applyFont="1" applyFill="1" applyBorder="1" applyAlignment="1">
      <alignment horizontal="left" vertical="center" wrapText="1"/>
    </xf>
    <xf numFmtId="164" fontId="10" fillId="6" borderId="44" xfId="1" applyNumberFormat="1" applyFont="1" applyFill="1" applyBorder="1" applyAlignment="1">
      <alignment horizontal="left" vertical="center" wrapText="1"/>
    </xf>
    <xf numFmtId="0" fontId="32" fillId="25" borderId="33" xfId="0" applyFont="1" applyFill="1" applyBorder="1"/>
    <xf numFmtId="10" fontId="33" fillId="12" borderId="28" xfId="2" applyNumberFormat="1" applyFont="1" applyFill="1" applyBorder="1"/>
    <xf numFmtId="10" fontId="33" fillId="25" borderId="28" xfId="2" applyNumberFormat="1" applyFont="1" applyFill="1" applyBorder="1"/>
    <xf numFmtId="10" fontId="34" fillId="11" borderId="28" xfId="2" applyNumberFormat="1" applyFont="1" applyFill="1" applyBorder="1"/>
    <xf numFmtId="164" fontId="9" fillId="2" borderId="5" xfId="1" applyNumberFormat="1" applyFont="1" applyFill="1" applyBorder="1" applyAlignment="1">
      <alignment horizontal="center" vertical="center" wrapText="1"/>
    </xf>
    <xf numFmtId="164" fontId="9" fillId="2" borderId="49" xfId="1" applyNumberFormat="1" applyFont="1" applyFill="1" applyBorder="1" applyAlignment="1">
      <alignment horizontal="center" vertical="center" wrapText="1"/>
    </xf>
    <xf numFmtId="164" fontId="7" fillId="2" borderId="51" xfId="1" applyNumberFormat="1" applyFont="1" applyFill="1" applyBorder="1" applyAlignment="1">
      <alignment horizontal="center" vertical="center" wrapText="1"/>
    </xf>
    <xf numFmtId="164" fontId="7" fillId="2" borderId="67" xfId="1" applyNumberFormat="1" applyFont="1" applyFill="1" applyBorder="1" applyAlignment="1">
      <alignment horizontal="center" vertical="center" wrapText="1"/>
    </xf>
    <xf numFmtId="164" fontId="7" fillId="2" borderId="68" xfId="1" applyNumberFormat="1" applyFont="1" applyFill="1" applyBorder="1" applyAlignment="1">
      <alignment horizontal="center" vertical="center" wrapText="1"/>
    </xf>
    <xf numFmtId="166" fontId="12" fillId="2" borderId="45" xfId="1" applyNumberFormat="1" applyFont="1" applyFill="1" applyBorder="1" applyAlignment="1">
      <alignment vertical="center"/>
    </xf>
    <xf numFmtId="0" fontId="35" fillId="0" borderId="33" xfId="0" applyFont="1" applyBorder="1"/>
    <xf numFmtId="0" fontId="35" fillId="6" borderId="33" xfId="0" applyFont="1" applyFill="1" applyBorder="1"/>
    <xf numFmtId="0" fontId="35" fillId="25" borderId="33" xfId="0" applyFont="1" applyFill="1" applyBorder="1"/>
    <xf numFmtId="0" fontId="35" fillId="3" borderId="33" xfId="0" applyFont="1" applyFill="1" applyBorder="1"/>
    <xf numFmtId="0" fontId="35" fillId="6" borderId="44" xfId="0" applyFont="1" applyFill="1" applyBorder="1"/>
    <xf numFmtId="164" fontId="29" fillId="2" borderId="51" xfId="1" applyNumberFormat="1" applyFont="1" applyFill="1" applyBorder="1" applyAlignment="1">
      <alignment horizontal="center" vertical="center" wrapText="1"/>
    </xf>
    <xf numFmtId="164" fontId="29" fillId="2" borderId="67" xfId="1" applyNumberFormat="1" applyFont="1" applyFill="1" applyBorder="1" applyAlignment="1">
      <alignment horizontal="center" vertical="center" wrapText="1"/>
    </xf>
    <xf numFmtId="164" fontId="29" fillId="2" borderId="68" xfId="1" applyNumberFormat="1" applyFont="1" applyFill="1" applyBorder="1" applyAlignment="1">
      <alignment horizontal="center" vertical="center" wrapText="1"/>
    </xf>
    <xf numFmtId="164" fontId="29" fillId="2" borderId="17" xfId="1" applyNumberFormat="1" applyFont="1" applyFill="1" applyBorder="1" applyAlignment="1">
      <alignment horizontal="center" vertical="center"/>
    </xf>
    <xf numFmtId="0" fontId="4" fillId="8" borderId="63" xfId="3" applyNumberFormat="1" applyFont="1" applyFill="1" applyBorder="1" applyAlignment="1">
      <alignment horizontal="left"/>
    </xf>
    <xf numFmtId="166" fontId="30" fillId="6" borderId="11" xfId="1" applyNumberFormat="1" applyFont="1" applyFill="1" applyBorder="1" applyAlignment="1">
      <alignment horizontal="right" vertical="center"/>
    </xf>
    <xf numFmtId="166" fontId="30" fillId="6" borderId="32" xfId="1" applyNumberFormat="1" applyFont="1" applyFill="1" applyBorder="1" applyAlignment="1">
      <alignment horizontal="right" vertical="center"/>
    </xf>
    <xf numFmtId="166" fontId="30" fillId="6" borderId="9" xfId="1" applyNumberFormat="1" applyFont="1" applyFill="1" applyBorder="1" applyAlignment="1">
      <alignment horizontal="right" vertical="center"/>
    </xf>
    <xf numFmtId="164" fontId="4" fillId="11" borderId="52" xfId="3" applyNumberFormat="1" applyFont="1" applyFill="1" applyBorder="1" applyAlignment="1">
      <alignment horizontal="center" vertical="center"/>
    </xf>
    <xf numFmtId="0" fontId="4" fillId="11" borderId="22" xfId="3" applyNumberFormat="1" applyFont="1" applyFill="1" applyBorder="1" applyAlignment="1">
      <alignment horizontal="left" wrapText="1"/>
    </xf>
    <xf numFmtId="164" fontId="4" fillId="11" borderId="23" xfId="3" applyNumberFormat="1" applyFont="1" applyFill="1" applyBorder="1" applyAlignment="1">
      <alignment vertical="center"/>
    </xf>
    <xf numFmtId="164" fontId="4" fillId="11" borderId="23" xfId="3" applyNumberFormat="1" applyFont="1" applyFill="1" applyBorder="1" applyAlignment="1">
      <alignment horizontal="center" vertical="center" wrapText="1"/>
    </xf>
    <xf numFmtId="168" fontId="4" fillId="11" borderId="22" xfId="3" applyNumberFormat="1" applyFont="1" applyFill="1" applyBorder="1" applyAlignment="1">
      <alignment vertical="center"/>
    </xf>
    <xf numFmtId="167" fontId="6" fillId="11" borderId="0" xfId="3" applyNumberFormat="1" applyFont="1" applyFill="1" applyAlignment="1">
      <alignment vertical="center"/>
    </xf>
    <xf numFmtId="0" fontId="4" fillId="11" borderId="22" xfId="3" applyNumberFormat="1" applyFont="1" applyFill="1" applyBorder="1" applyAlignment="1">
      <alignment horizontal="center" vertical="center" wrapText="1"/>
    </xf>
    <xf numFmtId="166" fontId="4" fillId="11" borderId="4" xfId="1" applyNumberFormat="1" applyFont="1" applyFill="1" applyBorder="1" applyAlignment="1">
      <alignment horizontal="right"/>
    </xf>
    <xf numFmtId="166" fontId="4" fillId="11" borderId="5" xfId="1" applyNumberFormat="1" applyFont="1" applyFill="1" applyBorder="1" applyAlignment="1">
      <alignment horizontal="right"/>
    </xf>
    <xf numFmtId="166" fontId="4" fillId="11" borderId="50" xfId="1" applyNumberFormat="1" applyFont="1" applyFill="1" applyBorder="1" applyAlignment="1">
      <alignment horizontal="right"/>
    </xf>
    <xf numFmtId="164" fontId="7" fillId="28" borderId="33" xfId="1" applyNumberFormat="1" applyFont="1" applyFill="1" applyBorder="1" applyAlignment="1">
      <alignment horizontal="left" vertical="center" wrapText="1"/>
    </xf>
    <xf numFmtId="0" fontId="36" fillId="28" borderId="33" xfId="0" applyFont="1" applyFill="1" applyBorder="1"/>
    <xf numFmtId="166" fontId="29" fillId="28" borderId="11" xfId="1" applyNumberFormat="1" applyFont="1" applyFill="1" applyBorder="1" applyAlignment="1">
      <alignment horizontal="right"/>
    </xf>
    <xf numFmtId="164" fontId="7" fillId="29" borderId="15" xfId="1" applyNumberFormat="1" applyFont="1" applyFill="1" applyBorder="1" applyAlignment="1">
      <alignment horizontal="left" vertical="center"/>
    </xf>
    <xf numFmtId="166" fontId="29" fillId="29" borderId="10" xfId="1" applyNumberFormat="1" applyFont="1" applyFill="1" applyBorder="1" applyAlignment="1">
      <alignment horizontal="right"/>
    </xf>
    <xf numFmtId="166" fontId="29" fillId="29" borderId="38" xfId="1" applyNumberFormat="1" applyFont="1" applyFill="1" applyBorder="1" applyAlignment="1">
      <alignment horizontal="right"/>
    </xf>
    <xf numFmtId="166" fontId="29" fillId="29" borderId="54" xfId="1" applyNumberFormat="1" applyFont="1" applyFill="1" applyBorder="1" applyAlignment="1">
      <alignment horizontal="right"/>
    </xf>
    <xf numFmtId="166" fontId="29" fillId="29" borderId="28" xfId="1" applyNumberFormat="1" applyFont="1" applyFill="1" applyBorder="1" applyAlignment="1">
      <alignment horizontal="right"/>
    </xf>
    <xf numFmtId="164" fontId="2" fillId="2" borderId="2" xfId="1" applyNumberFormat="1" applyFont="1" applyFill="1" applyBorder="1" applyAlignment="1">
      <alignment horizontal="center" vertical="center" wrapText="1"/>
    </xf>
    <xf numFmtId="164" fontId="9" fillId="2" borderId="3" xfId="1" applyNumberFormat="1" applyFont="1" applyFill="1" applyBorder="1" applyAlignment="1">
      <alignment horizontal="center" vertical="center" wrapText="1"/>
    </xf>
    <xf numFmtId="164" fontId="2" fillId="2" borderId="18" xfId="1" applyNumberFormat="1" applyFont="1" applyFill="1" applyBorder="1" applyAlignment="1">
      <alignment horizontal="center" vertical="center"/>
    </xf>
    <xf numFmtId="166" fontId="30" fillId="6" borderId="8" xfId="1" applyNumberFormat="1" applyFont="1" applyFill="1" applyBorder="1" applyAlignment="1">
      <alignment horizontal="right"/>
    </xf>
    <xf numFmtId="164" fontId="7" fillId="6" borderId="33" xfId="1" applyNumberFormat="1" applyFont="1" applyFill="1" applyBorder="1" applyAlignment="1">
      <alignment horizontal="left" vertical="center" wrapText="1"/>
    </xf>
    <xf numFmtId="164" fontId="7" fillId="28" borderId="28" xfId="1" applyNumberFormat="1" applyFont="1" applyFill="1" applyBorder="1" applyAlignment="1">
      <alignment horizontal="left" vertical="center" wrapText="1"/>
    </xf>
    <xf numFmtId="10" fontId="33" fillId="28" borderId="28" xfId="2" applyNumberFormat="1" applyFont="1" applyFill="1" applyBorder="1"/>
    <xf numFmtId="166" fontId="29" fillId="28" borderId="10" xfId="1" applyNumberFormat="1" applyFont="1" applyFill="1" applyBorder="1" applyAlignment="1">
      <alignment horizontal="right"/>
    </xf>
    <xf numFmtId="166" fontId="29" fillId="28" borderId="38" xfId="1" applyNumberFormat="1" applyFont="1" applyFill="1" applyBorder="1" applyAlignment="1">
      <alignment horizontal="right"/>
    </xf>
    <xf numFmtId="166" fontId="29" fillId="28" borderId="54" xfId="1" applyNumberFormat="1" applyFont="1" applyFill="1" applyBorder="1" applyAlignment="1">
      <alignment horizontal="right"/>
    </xf>
    <xf numFmtId="166" fontId="29" fillId="28" borderId="28" xfId="1" applyNumberFormat="1" applyFont="1" applyFill="1" applyBorder="1" applyAlignment="1">
      <alignment horizontal="right"/>
    </xf>
    <xf numFmtId="164" fontId="7" fillId="27" borderId="28" xfId="1" applyNumberFormat="1" applyFont="1" applyFill="1" applyBorder="1" applyAlignment="1">
      <alignment horizontal="left" vertical="center" wrapText="1"/>
    </xf>
    <xf numFmtId="10" fontId="33" fillId="27" borderId="28" xfId="2" applyNumberFormat="1" applyFont="1" applyFill="1" applyBorder="1"/>
    <xf numFmtId="166" fontId="29" fillId="27" borderId="10" xfId="1" applyNumberFormat="1" applyFont="1" applyFill="1" applyBorder="1" applyAlignment="1">
      <alignment horizontal="right"/>
    </xf>
    <xf numFmtId="166" fontId="29" fillId="27" borderId="38" xfId="1" applyNumberFormat="1" applyFont="1" applyFill="1" applyBorder="1" applyAlignment="1">
      <alignment horizontal="right"/>
    </xf>
    <xf numFmtId="166" fontId="29" fillId="27" borderId="54" xfId="1" applyNumberFormat="1" applyFont="1" applyFill="1" applyBorder="1" applyAlignment="1">
      <alignment horizontal="right"/>
    </xf>
    <xf numFmtId="171" fontId="4" fillId="0" borderId="0" xfId="4" applyNumberFormat="1" applyFont="1" applyFill="1" applyBorder="1" applyAlignment="1">
      <alignment vertical="top" wrapText="1"/>
    </xf>
    <xf numFmtId="171" fontId="6" fillId="5" borderId="27" xfId="1" applyNumberFormat="1" applyFont="1" applyFill="1" applyBorder="1" applyAlignment="1">
      <alignment horizontal="center" vertical="top"/>
    </xf>
    <xf numFmtId="171" fontId="6" fillId="5" borderId="26" xfId="1" applyNumberFormat="1" applyFont="1" applyFill="1" applyBorder="1" applyAlignment="1">
      <alignment horizontal="center" vertical="top"/>
    </xf>
    <xf numFmtId="173" fontId="4" fillId="25" borderId="17" xfId="4" applyNumberFormat="1" applyFont="1" applyFill="1" applyBorder="1" applyAlignment="1">
      <alignment vertical="top" wrapText="1"/>
    </xf>
    <xf numFmtId="173" fontId="4" fillId="25" borderId="1" xfId="4" applyNumberFormat="1" applyFont="1" applyFill="1" applyBorder="1" applyAlignment="1">
      <alignment vertical="top" wrapText="1"/>
    </xf>
    <xf numFmtId="171" fontId="4" fillId="25" borderId="1" xfId="1" applyNumberFormat="1" applyFont="1" applyFill="1" applyBorder="1" applyAlignment="1">
      <alignment vertical="top"/>
    </xf>
    <xf numFmtId="171" fontId="4" fillId="25" borderId="0" xfId="1" applyNumberFormat="1" applyFont="1" applyFill="1" applyBorder="1" applyAlignment="1">
      <alignment vertical="top"/>
    </xf>
    <xf numFmtId="171" fontId="4" fillId="25" borderId="17" xfId="1" applyNumberFormat="1" applyFont="1" applyFill="1" applyBorder="1" applyAlignment="1">
      <alignment vertical="top"/>
    </xf>
    <xf numFmtId="173" fontId="4" fillId="25" borderId="0" xfId="4" applyNumberFormat="1" applyFont="1" applyFill="1" applyBorder="1" applyAlignment="1">
      <alignment vertical="top" wrapText="1"/>
    </xf>
    <xf numFmtId="171" fontId="0" fillId="0" borderId="0" xfId="0" applyNumberFormat="1"/>
    <xf numFmtId="174" fontId="0" fillId="0" borderId="0" xfId="0" applyNumberFormat="1"/>
    <xf numFmtId="173" fontId="0" fillId="0" borderId="0" xfId="0" applyNumberFormat="1"/>
    <xf numFmtId="173" fontId="4" fillId="22" borderId="17" xfId="4" applyNumberFormat="1" applyFont="1" applyFill="1" applyBorder="1" applyAlignment="1">
      <alignment vertical="top" wrapText="1"/>
    </xf>
    <xf numFmtId="173" fontId="4" fillId="22" borderId="1" xfId="4" applyNumberFormat="1" applyFont="1" applyFill="1" applyBorder="1" applyAlignment="1">
      <alignment vertical="top" wrapText="1"/>
    </xf>
    <xf numFmtId="171" fontId="4" fillId="22" borderId="1" xfId="1" applyNumberFormat="1" applyFont="1" applyFill="1" applyBorder="1" applyAlignment="1">
      <alignment vertical="top" wrapText="1"/>
    </xf>
    <xf numFmtId="171" fontId="0" fillId="22" borderId="1" xfId="1" applyNumberFormat="1" applyFont="1" applyFill="1" applyBorder="1" applyAlignment="1">
      <alignment vertical="top" wrapText="1"/>
    </xf>
    <xf numFmtId="171" fontId="4" fillId="22" borderId="0" xfId="1" applyNumberFormat="1" applyFont="1" applyFill="1" applyBorder="1" applyAlignment="1">
      <alignment vertical="top" wrapText="1"/>
    </xf>
    <xf numFmtId="171" fontId="4" fillId="22" borderId="17" xfId="1" applyNumberFormat="1" applyFont="1" applyFill="1" applyBorder="1" applyAlignment="1">
      <alignment vertical="top" wrapText="1"/>
    </xf>
    <xf numFmtId="171" fontId="4" fillId="0" borderId="17" xfId="4" applyNumberFormat="1" applyFont="1" applyFill="1" applyBorder="1" applyAlignment="1">
      <alignment vertical="top" wrapText="1"/>
    </xf>
    <xf numFmtId="171" fontId="4" fillId="0" borderId="1" xfId="4" applyNumberFormat="1" applyFont="1" applyFill="1" applyBorder="1" applyAlignment="1">
      <alignment vertical="top" wrapText="1"/>
    </xf>
    <xf numFmtId="173" fontId="4" fillId="0" borderId="1" xfId="1" applyNumberFormat="1" applyFont="1" applyFill="1" applyBorder="1" applyAlignment="1">
      <alignment vertical="top" wrapText="1"/>
    </xf>
    <xf numFmtId="173" fontId="4" fillId="0" borderId="0" xfId="1" applyNumberFormat="1" applyFont="1" applyFill="1" applyBorder="1" applyAlignment="1">
      <alignment vertical="top" wrapText="1"/>
    </xf>
    <xf numFmtId="173" fontId="4" fillId="0" borderId="17" xfId="1" applyNumberFormat="1" applyFont="1" applyFill="1" applyBorder="1" applyAlignment="1">
      <alignment vertical="top" wrapText="1"/>
    </xf>
    <xf numFmtId="10" fontId="37" fillId="11" borderId="28" xfId="2" applyNumberFormat="1" applyFont="1" applyFill="1" applyBorder="1"/>
    <xf numFmtId="10" fontId="36" fillId="12" borderId="28" xfId="2" applyNumberFormat="1" applyFont="1" applyFill="1" applyBorder="1"/>
    <xf numFmtId="10" fontId="35" fillId="29" borderId="28" xfId="2" applyNumberFormat="1" applyFont="1" applyFill="1" applyBorder="1"/>
    <xf numFmtId="10" fontId="36" fillId="25" borderId="28" xfId="2" applyNumberFormat="1" applyFont="1" applyFill="1" applyBorder="1"/>
    <xf numFmtId="0" fontId="35" fillId="28" borderId="33" xfId="0" applyFont="1" applyFill="1" applyBorder="1"/>
    <xf numFmtId="164" fontId="4" fillId="0" borderId="27" xfId="3" applyNumberFormat="1" applyFont="1" applyFill="1" applyBorder="1" applyAlignment="1">
      <alignment vertical="center"/>
    </xf>
    <xf numFmtId="164" fontId="11" fillId="0" borderId="30" xfId="5" applyNumberFormat="1" applyFont="1" applyFill="1" applyBorder="1" applyAlignment="1">
      <alignment vertical="center"/>
    </xf>
    <xf numFmtId="164" fontId="11" fillId="8" borderId="30" xfId="5" applyNumberFormat="1" applyFont="1" applyFill="1" applyBorder="1" applyAlignment="1">
      <alignment vertical="center"/>
    </xf>
    <xf numFmtId="164" fontId="11" fillId="0" borderId="30" xfId="5" applyNumberFormat="1" applyFont="1" applyFill="1" applyBorder="1" applyAlignment="1">
      <alignment vertical="center" wrapText="1"/>
    </xf>
    <xf numFmtId="10" fontId="4" fillId="13" borderId="33" xfId="4" applyNumberFormat="1" applyFont="1" applyFill="1" applyBorder="1" applyAlignment="1">
      <alignment vertical="center" wrapText="1"/>
    </xf>
    <xf numFmtId="169" fontId="27" fillId="0" borderId="53" xfId="0" applyNumberFormat="1" applyFont="1" applyBorder="1"/>
    <xf numFmtId="171" fontId="27" fillId="0" borderId="85" xfId="0" applyNumberFormat="1" applyFont="1" applyBorder="1"/>
    <xf numFmtId="164" fontId="11" fillId="0" borderId="66" xfId="5" applyNumberFormat="1" applyFont="1" applyFill="1" applyBorder="1" applyAlignment="1">
      <alignment vertical="center"/>
    </xf>
    <xf numFmtId="0" fontId="21" fillId="0" borderId="0" xfId="0" applyFont="1"/>
    <xf numFmtId="166" fontId="21" fillId="0" borderId="0" xfId="0" applyNumberFormat="1" applyFont="1"/>
    <xf numFmtId="10" fontId="21" fillId="0" borderId="0" xfId="2" applyNumberFormat="1" applyFont="1"/>
    <xf numFmtId="0" fontId="10" fillId="0" borderId="86" xfId="16" applyFont="1" applyBorder="1" applyAlignment="1">
      <alignment wrapText="1"/>
    </xf>
    <xf numFmtId="171" fontId="38" fillId="0" borderId="8" xfId="0" applyNumberFormat="1" applyFont="1" applyBorder="1"/>
    <xf numFmtId="171" fontId="38" fillId="0" borderId="9" xfId="0" applyNumberFormat="1" applyFont="1" applyBorder="1"/>
    <xf numFmtId="166" fontId="29" fillId="28" borderId="87" xfId="1" applyNumberFormat="1" applyFont="1" applyFill="1" applyBorder="1" applyAlignment="1">
      <alignment horizontal="right"/>
    </xf>
    <xf numFmtId="166" fontId="29" fillId="28" borderId="65" xfId="1" applyNumberFormat="1" applyFont="1" applyFill="1" applyBorder="1" applyAlignment="1">
      <alignment horizontal="right"/>
    </xf>
    <xf numFmtId="166" fontId="29" fillId="28" borderId="88" xfId="1" applyNumberFormat="1" applyFont="1" applyFill="1" applyBorder="1" applyAlignment="1">
      <alignment horizontal="right"/>
    </xf>
    <xf numFmtId="166" fontId="30" fillId="6" borderId="7" xfId="1" applyNumberFormat="1" applyFont="1" applyFill="1" applyBorder="1" applyAlignment="1">
      <alignment horizontal="right"/>
    </xf>
    <xf numFmtId="166" fontId="30" fillId="6" borderId="35" xfId="1" applyNumberFormat="1" applyFont="1" applyFill="1" applyBorder="1" applyAlignment="1">
      <alignment horizontal="right"/>
    </xf>
    <xf numFmtId="0" fontId="35" fillId="6" borderId="36" xfId="0" applyFont="1" applyFill="1" applyBorder="1"/>
    <xf numFmtId="171" fontId="38" fillId="0" borderId="11" xfId="0" applyNumberFormat="1" applyFont="1" applyBorder="1"/>
    <xf numFmtId="164" fontId="9" fillId="2" borderId="89" xfId="1" applyNumberFormat="1" applyFont="1" applyFill="1" applyBorder="1" applyAlignment="1">
      <alignment horizontal="center" vertical="center" wrapText="1"/>
    </xf>
    <xf numFmtId="164" fontId="7" fillId="2" borderId="90" xfId="1" applyNumberFormat="1" applyFont="1" applyFill="1" applyBorder="1" applyAlignment="1">
      <alignment horizontal="center" vertical="center" wrapText="1"/>
    </xf>
    <xf numFmtId="166" fontId="29" fillId="2" borderId="37" xfId="1" applyNumberFormat="1" applyFont="1" applyFill="1" applyBorder="1" applyAlignment="1">
      <alignment vertical="center"/>
    </xf>
    <xf numFmtId="166" fontId="30" fillId="6" borderId="36" xfId="1" applyNumberFormat="1" applyFont="1" applyFill="1" applyBorder="1" applyAlignment="1">
      <alignment horizontal="right"/>
    </xf>
    <xf numFmtId="166" fontId="29" fillId="12" borderId="91" xfId="1" applyNumberFormat="1" applyFont="1" applyFill="1" applyBorder="1" applyAlignment="1">
      <alignment horizontal="right"/>
    </xf>
    <xf numFmtId="166" fontId="30" fillId="6" borderId="37" xfId="1" applyNumberFormat="1" applyFont="1" applyFill="1" applyBorder="1" applyAlignment="1">
      <alignment horizontal="right"/>
    </xf>
    <xf numFmtId="166" fontId="29" fillId="28" borderId="33" xfId="1" applyNumberFormat="1" applyFont="1" applyFill="1" applyBorder="1" applyAlignment="1">
      <alignment horizontal="right"/>
    </xf>
    <xf numFmtId="43" fontId="0" fillId="0" borderId="0" xfId="1" applyFont="1"/>
    <xf numFmtId="166" fontId="29" fillId="28" borderId="8" xfId="1" applyNumberFormat="1" applyFont="1" applyFill="1" applyBorder="1" applyAlignment="1">
      <alignment horizontal="right"/>
    </xf>
    <xf numFmtId="164" fontId="7" fillId="12" borderId="25" xfId="1" applyNumberFormat="1" applyFont="1" applyFill="1" applyBorder="1" applyAlignment="1">
      <alignment horizontal="left" vertical="center" wrapText="1"/>
    </xf>
    <xf numFmtId="164" fontId="7" fillId="12" borderId="26" xfId="1" applyNumberFormat="1" applyFont="1" applyFill="1" applyBorder="1" applyAlignment="1">
      <alignment horizontal="left" vertical="center" wrapText="1"/>
    </xf>
    <xf numFmtId="166" fontId="29" fillId="28" borderId="36" xfId="1" applyNumberFormat="1" applyFont="1" applyFill="1" applyBorder="1" applyAlignment="1">
      <alignment horizontal="right"/>
    </xf>
    <xf numFmtId="0" fontId="41" fillId="6" borderId="0" xfId="0" applyFont="1" applyFill="1"/>
    <xf numFmtId="166" fontId="30" fillId="25" borderId="87" xfId="1" applyNumberFormat="1" applyFont="1" applyFill="1" applyBorder="1" applyAlignment="1">
      <alignment horizontal="right"/>
    </xf>
    <xf numFmtId="166" fontId="30" fillId="25" borderId="65" xfId="1" applyNumberFormat="1" applyFont="1" applyFill="1" applyBorder="1" applyAlignment="1">
      <alignment horizontal="right"/>
    </xf>
    <xf numFmtId="166" fontId="30" fillId="25" borderId="88" xfId="1" applyNumberFormat="1" applyFont="1" applyFill="1" applyBorder="1" applyAlignment="1">
      <alignment horizontal="right"/>
    </xf>
    <xf numFmtId="175" fontId="18" fillId="0" borderId="0" xfId="0" applyNumberFormat="1" applyFont="1"/>
    <xf numFmtId="10" fontId="18" fillId="0" borderId="0" xfId="2" applyNumberFormat="1" applyFont="1"/>
    <xf numFmtId="0" fontId="11" fillId="0" borderId="24" xfId="5" applyFont="1" applyFill="1" applyBorder="1" applyAlignment="1">
      <alignment vertical="center"/>
    </xf>
    <xf numFmtId="0" fontId="11" fillId="8" borderId="24" xfId="5" applyFont="1" applyFill="1" applyBorder="1" applyAlignment="1">
      <alignment vertical="center"/>
    </xf>
    <xf numFmtId="10" fontId="4" fillId="0" borderId="24" xfId="7" applyNumberFormat="1" applyFont="1" applyFill="1" applyBorder="1" applyAlignment="1">
      <alignment vertical="center"/>
    </xf>
    <xf numFmtId="10" fontId="4" fillId="8" borderId="24" xfId="7" applyNumberFormat="1" applyFont="1" applyFill="1" applyBorder="1" applyAlignment="1">
      <alignment vertical="center"/>
    </xf>
    <xf numFmtId="0" fontId="11" fillId="0" borderId="92" xfId="5" applyFont="1" applyFill="1" applyBorder="1" applyAlignment="1">
      <alignment vertical="center"/>
    </xf>
    <xf numFmtId="164" fontId="4" fillId="0" borderId="16" xfId="3" applyNumberFormat="1" applyFont="1" applyBorder="1" applyAlignment="1">
      <alignment horizontal="center" vertical="center"/>
    </xf>
    <xf numFmtId="0" fontId="39" fillId="6" borderId="57" xfId="0" applyFont="1" applyFill="1" applyBorder="1" applyAlignment="1">
      <alignment horizontal="center"/>
    </xf>
    <xf numFmtId="0" fontId="40" fillId="6" borderId="56" xfId="0" applyFont="1" applyFill="1" applyBorder="1" applyAlignment="1">
      <alignment horizontal="center"/>
    </xf>
    <xf numFmtId="0" fontId="14" fillId="6" borderId="0" xfId="0" applyFont="1" applyFill="1" applyAlignment="1">
      <alignment horizontal="left" wrapText="1"/>
    </xf>
    <xf numFmtId="0" fontId="16" fillId="6" borderId="25" xfId="0" applyFont="1" applyFill="1" applyBorder="1" applyAlignment="1">
      <alignment horizontal="center" wrapText="1"/>
    </xf>
    <xf numFmtId="0" fontId="16" fillId="6" borderId="26" xfId="0" applyFont="1" applyFill="1" applyBorder="1" applyAlignment="1">
      <alignment horizontal="center" wrapText="1"/>
    </xf>
    <xf numFmtId="0" fontId="16" fillId="6" borderId="27" xfId="0" applyFont="1" applyFill="1" applyBorder="1" applyAlignment="1">
      <alignment horizontal="center" wrapText="1"/>
    </xf>
    <xf numFmtId="0" fontId="0" fillId="0" borderId="26" xfId="0" applyBorder="1" applyAlignment="1"/>
    <xf numFmtId="0" fontId="0" fillId="0" borderId="26" xfId="0" applyBorder="1" applyAlignment="1">
      <alignment horizontal="center"/>
    </xf>
    <xf numFmtId="0" fontId="14" fillId="0" borderId="0" xfId="0" applyFont="1" applyAlignment="1">
      <alignment horizontal="left" wrapText="1"/>
    </xf>
    <xf numFmtId="164" fontId="2" fillId="5" borderId="14" xfId="3" applyNumberFormat="1" applyFont="1" applyFill="1" applyBorder="1" applyAlignment="1">
      <alignment horizontal="center" vertical="center" wrapText="1"/>
    </xf>
    <xf numFmtId="164" fontId="2" fillId="5" borderId="17" xfId="3" applyNumberFormat="1" applyFont="1" applyFill="1" applyBorder="1" applyAlignment="1">
      <alignment horizontal="center" vertical="center" wrapText="1"/>
    </xf>
    <xf numFmtId="164" fontId="2" fillId="5" borderId="43" xfId="3" applyNumberFormat="1" applyFont="1" applyFill="1" applyBorder="1" applyAlignment="1">
      <alignment horizontal="center" vertical="center" wrapText="1"/>
    </xf>
  </cellXfs>
  <cellStyles count="17">
    <cellStyle name="0,0_x000d__x000a_NA_x000d__x000a_" xfId="4"/>
    <cellStyle name="0,0_x000d__x000a_NA_x000d__x000a_ 10" xfId="13"/>
    <cellStyle name="0,0_x000d__x000a_NA_x000d__x000a_ 2 2" xfId="14"/>
    <cellStyle name="0,0_x000d__x000a_NA_x000d__x000a_ 3" xfId="10"/>
    <cellStyle name="Comma" xfId="1" builtinId="3"/>
    <cellStyle name="Comma 2" xfId="3"/>
    <cellStyle name="Comma 2 3" xfId="15"/>
    <cellStyle name="grayed" xfId="9"/>
    <cellStyle name="Normal" xfId="0" builtinId="0"/>
    <cellStyle name="Normal 2" xfId="6"/>
    <cellStyle name="Normal 3" xfId="12"/>
    <cellStyle name="Normal_Depreciation allocation final" xfId="16"/>
    <cellStyle name="Normal_Sheet1" xfId="11"/>
    <cellStyle name="Normal_Women and Children finance report- draft" xfId="5"/>
    <cellStyle name="Percent" xfId="2" builtinId="5"/>
    <cellStyle name="Percent 2" xfId="7"/>
    <cellStyle name="Percent 9" xfId="8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HSSC%20Y%20Drive/Finance%2004/04-09%20Annual%20Plans%202007-08%20onwards/AOF%202018-19/Draft%20Versions%20ICP/Annex%2011%20-%20WHSSC%202018-19%20ICP%20Financial%20Tables%20post%20WG%20&amp;%20J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082873\Documents\17-18%20plan\Year%202%20-%20Draf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WHSSC%20Y%20Drive/Finance%2004/04-08%20Financial%20Positions%202007-08%20onwards/Financial%20Position%202017-18/10.January/January%202018%20Financial%20Risk%20Sharing%20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Excluding HRG4+"/>
      <sheetName val="Summary Including HRG4+"/>
      <sheetName val="Table 3 - Rollover Baseline"/>
      <sheetName val="Table 5 - VBC Workstreams"/>
      <sheetName val="Table 6 - Growth"/>
      <sheetName val="Table 7 - Horizon Scanning"/>
      <sheetName val="Table 8 - New Services"/>
      <sheetName val="Table 9 - CIAG Schemes"/>
      <sheetName val="Commissioner Splits"/>
    </sheetNames>
    <sheetDataSet>
      <sheetData sheetId="0"/>
      <sheetData sheetId="1">
        <row r="10">
          <cell r="J10">
            <v>5.1683729999999999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vement"/>
      <sheetName val="Table 1- Summary"/>
      <sheetName val="Table 2- Income"/>
      <sheetName val="Table 3- Baseline Assessment"/>
      <sheetName val="Table 4 - Welsh Inflation"/>
      <sheetName val="Table 5 - Spend to Save Schemes"/>
      <sheetName val="Table 7 - Financial Framework"/>
      <sheetName val="Table 8-WAST EASC EMRTS"/>
      <sheetName val="Table 9 - MGMT GRP Priorities "/>
      <sheetName val="Commissioner Splits"/>
    </sheetNames>
    <sheetDataSet>
      <sheetData sheetId="0"/>
      <sheetData sheetId="1">
        <row r="2">
          <cell r="A2" t="str">
            <v>2017/18 - 2019/20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A4">
            <v>1</v>
          </cell>
          <cell r="B4" t="str">
            <v>Cardiff &amp; Vale</v>
          </cell>
          <cell r="C4" t="str">
            <v>Haemophilia</v>
          </cell>
          <cell r="D4">
            <v>0.35155999999999998</v>
          </cell>
          <cell r="E4">
            <v>0.10353999999999999</v>
          </cell>
          <cell r="F4">
            <v>0.14455000000000001</v>
          </cell>
          <cell r="G4">
            <v>0.26071</v>
          </cell>
          <cell r="H4">
            <v>3.771E-2</v>
          </cell>
          <cell r="I4">
            <v>0.10193000000000001</v>
          </cell>
          <cell r="J4">
            <v>0</v>
          </cell>
        </row>
        <row r="5">
          <cell r="A5">
            <v>2</v>
          </cell>
          <cell r="B5" t="str">
            <v>Cardiff &amp; Vale</v>
          </cell>
          <cell r="C5" t="str">
            <v>BMT - Cardiff &amp; ABM</v>
          </cell>
          <cell r="D5">
            <v>0.19213065162044235</v>
          </cell>
          <cell r="E5">
            <v>0.21155474475708369</v>
          </cell>
          <cell r="F5">
            <v>7.4271550112448972E-2</v>
          </cell>
          <cell r="G5">
            <v>0.29995337823513352</v>
          </cell>
          <cell r="H5">
            <v>0.186696558614494</v>
          </cell>
          <cell r="I5">
            <v>3.5393116660397468E-2</v>
          </cell>
          <cell r="J5">
            <v>0</v>
          </cell>
        </row>
        <row r="6">
          <cell r="A6">
            <v>3</v>
          </cell>
          <cell r="B6" t="str">
            <v>Cardiff &amp; Vale</v>
          </cell>
          <cell r="C6" t="str">
            <v>BMT - Phase 1</v>
          </cell>
          <cell r="D6">
            <v>0.27021404725074866</v>
          </cell>
          <cell r="E6">
            <v>0.15841033776948113</v>
          </cell>
          <cell r="F6">
            <v>0.1746353732884886</v>
          </cell>
          <cell r="G6">
            <v>0.28921319812865792</v>
          </cell>
          <cell r="H6">
            <v>9.8381127668259211E-2</v>
          </cell>
          <cell r="I6">
            <v>9.1459158943642642E-3</v>
          </cell>
          <cell r="J6">
            <v>0</v>
          </cell>
        </row>
        <row r="7">
          <cell r="A7">
            <v>4</v>
          </cell>
          <cell r="B7" t="str">
            <v>Cardiff &amp; Vale</v>
          </cell>
          <cell r="C7" t="str">
            <v>BMT - Phase 2</v>
          </cell>
          <cell r="D7">
            <v>0.27021404725074866</v>
          </cell>
          <cell r="E7">
            <v>0.15841033776948113</v>
          </cell>
          <cell r="F7">
            <v>0.1746353732884886</v>
          </cell>
          <cell r="G7">
            <v>0.28921319812865792</v>
          </cell>
          <cell r="H7">
            <v>9.8381127668259211E-2</v>
          </cell>
          <cell r="I7">
            <v>9.1459158943642642E-3</v>
          </cell>
          <cell r="J7">
            <v>0</v>
          </cell>
        </row>
        <row r="8">
          <cell r="A8">
            <v>5</v>
          </cell>
          <cell r="B8" t="str">
            <v>Cardiff &amp; Vale</v>
          </cell>
          <cell r="C8" t="str">
            <v>Cardiology- Specialist Services</v>
          </cell>
          <cell r="D8">
            <v>0.52881175781233736</v>
          </cell>
          <cell r="E8">
            <v>1.2143199217272067E-2</v>
          </cell>
          <cell r="F8">
            <v>0.16232207282916614</v>
          </cell>
          <cell r="G8">
            <v>0.26567496921846434</v>
          </cell>
          <cell r="H8">
            <v>2.5597314462564289E-3</v>
          </cell>
          <cell r="I8">
            <v>2.8488269476503857E-2</v>
          </cell>
          <cell r="J8">
            <v>0</v>
          </cell>
        </row>
        <row r="9">
          <cell r="A9">
            <v>6</v>
          </cell>
          <cell r="B9" t="str">
            <v>Cardiff &amp; Vale</v>
          </cell>
          <cell r="C9" t="str">
            <v>Cardiology for AB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</row>
        <row r="10">
          <cell r="A10">
            <v>7</v>
          </cell>
          <cell r="B10" t="str">
            <v>Cardiff &amp; Vale</v>
          </cell>
          <cell r="C10" t="str">
            <v>Cwm Taf Cardiology PPCI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  <row r="11">
          <cell r="A11">
            <v>8</v>
          </cell>
          <cell r="B11" t="str">
            <v>Cardiff &amp; Vale</v>
          </cell>
          <cell r="C11" t="str">
            <v>Cardiology-Non Specialist</v>
          </cell>
          <cell r="D11">
            <v>0.71177421447828348</v>
          </cell>
          <cell r="E11">
            <v>1.0098848349845499E-2</v>
          </cell>
          <cell r="F11">
            <v>8.8951046514890289E-2</v>
          </cell>
          <cell r="G11">
            <v>0.17252452283866093</v>
          </cell>
          <cell r="H11">
            <v>5.2044321773152434E-3</v>
          </cell>
          <cell r="I11">
            <v>1.1098320055508759E-2</v>
          </cell>
          <cell r="J11">
            <v>3.4861558549555697E-4</v>
          </cell>
        </row>
        <row r="12">
          <cell r="A12">
            <v>9</v>
          </cell>
          <cell r="B12" t="str">
            <v>Cardiff &amp; Vale</v>
          </cell>
          <cell r="C12" t="str">
            <v>Cwm Taf Cardiology ICD's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A13">
            <v>10</v>
          </cell>
          <cell r="B13" t="str">
            <v>Cardiff &amp; Vale</v>
          </cell>
          <cell r="C13" t="str">
            <v xml:space="preserve">ABM Cardiology </v>
          </cell>
          <cell r="D13">
            <v>0</v>
          </cell>
          <cell r="E13">
            <v>0.65641816854873358</v>
          </cell>
          <cell r="F13">
            <v>0</v>
          </cell>
          <cell r="G13">
            <v>0</v>
          </cell>
          <cell r="H13">
            <v>0.34358183145126636</v>
          </cell>
          <cell r="I13">
            <v>0</v>
          </cell>
          <cell r="J13">
            <v>0</v>
          </cell>
        </row>
        <row r="14">
          <cell r="A14">
            <v>11</v>
          </cell>
          <cell r="B14" t="str">
            <v>Cardiff &amp; Vale</v>
          </cell>
          <cell r="C14" t="str">
            <v>ACHD</v>
          </cell>
          <cell r="D14">
            <v>0.20459924531112836</v>
          </cell>
          <cell r="E14">
            <v>0.22434215911349825</v>
          </cell>
          <cell r="F14">
            <v>0.12698486941058826</v>
          </cell>
          <cell r="G14">
            <v>0.2497818348909131</v>
          </cell>
          <cell r="H14">
            <v>0.16549712844912001</v>
          </cell>
          <cell r="I14">
            <v>2.8794762824752029E-2</v>
          </cell>
          <cell r="J14">
            <v>0</v>
          </cell>
        </row>
        <row r="15">
          <cell r="A15">
            <v>12</v>
          </cell>
          <cell r="B15" t="str">
            <v>Cardiff &amp; Vale</v>
          </cell>
          <cell r="C15" t="str">
            <v>Cardiac Surgery</v>
          </cell>
          <cell r="D15">
            <v>0.26445482209769244</v>
          </cell>
          <cell r="E15">
            <v>3.0144181964347674E-2</v>
          </cell>
          <cell r="F15">
            <v>0.2061356437246446</v>
          </cell>
          <cell r="G15">
            <v>0.47033527919302365</v>
          </cell>
          <cell r="H15">
            <v>5.3018297829877286E-3</v>
          </cell>
          <cell r="I15">
            <v>2.3628243237303993E-2</v>
          </cell>
          <cell r="J15">
            <v>0</v>
          </cell>
        </row>
        <row r="16">
          <cell r="A16">
            <v>13</v>
          </cell>
          <cell r="B16" t="str">
            <v>Cardiff &amp; Vale</v>
          </cell>
          <cell r="C16" t="str">
            <v>Cardiac Surgery - Development S W Wales</v>
          </cell>
          <cell r="D16">
            <v>0</v>
          </cell>
          <cell r="E16">
            <v>1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A17">
            <v>14</v>
          </cell>
          <cell r="B17" t="str">
            <v>Cardiff &amp; Vale</v>
          </cell>
          <cell r="C17" t="str">
            <v>Cardiac Surgery - Development S E Wales</v>
          </cell>
          <cell r="D17">
            <v>0.26445482209769244</v>
          </cell>
          <cell r="E17">
            <v>3.0144181964347674E-2</v>
          </cell>
          <cell r="F17">
            <v>0.2061356437246446</v>
          </cell>
          <cell r="G17">
            <v>0.47033527919302365</v>
          </cell>
          <cell r="H17">
            <v>5.3018297829877286E-3</v>
          </cell>
          <cell r="I17">
            <v>2.3628243237303993E-2</v>
          </cell>
          <cell r="J17">
            <v>0</v>
          </cell>
        </row>
        <row r="18">
          <cell r="A18">
            <v>15</v>
          </cell>
          <cell r="B18" t="str">
            <v>Cardiff &amp; Vale</v>
          </cell>
          <cell r="C18" t="str">
            <v>Cardiac Surgery-TAVI</v>
          </cell>
          <cell r="D18">
            <v>0.3888888888888889</v>
          </cell>
          <cell r="E18">
            <v>0</v>
          </cell>
          <cell r="F18">
            <v>0.16666666666666666</v>
          </cell>
          <cell r="G18">
            <v>0.44444444444444442</v>
          </cell>
          <cell r="H18">
            <v>0</v>
          </cell>
          <cell r="I18">
            <v>0</v>
          </cell>
          <cell r="J18">
            <v>0</v>
          </cell>
        </row>
        <row r="19">
          <cell r="A19">
            <v>16</v>
          </cell>
          <cell r="B19" t="str">
            <v>Cardiff &amp; Vale</v>
          </cell>
          <cell r="C19" t="str">
            <v>Renal Surgery</v>
          </cell>
          <cell r="D19">
            <v>0.26893343162860756</v>
          </cell>
          <cell r="E19">
            <v>0.12786303650120284</v>
          </cell>
          <cell r="F19">
            <v>0.15461932459772235</v>
          </cell>
          <cell r="G19">
            <v>0.34579290935611678</v>
          </cell>
          <cell r="H19">
            <v>8.4065868043835326E-2</v>
          </cell>
          <cell r="I19">
            <v>1.8725429872515267E-2</v>
          </cell>
          <cell r="J19">
            <v>0</v>
          </cell>
        </row>
        <row r="20">
          <cell r="A20">
            <v>17</v>
          </cell>
          <cell r="B20" t="str">
            <v>Cardiff &amp; Vale</v>
          </cell>
          <cell r="C20" t="str">
            <v>Nephrology</v>
          </cell>
          <cell r="D20">
            <v>0.45013609066490501</v>
          </cell>
          <cell r="E20">
            <v>4.1780187068844052E-2</v>
          </cell>
          <cell r="F20">
            <v>0.15583411983927242</v>
          </cell>
          <cell r="G20">
            <v>0.33122121273945809</v>
          </cell>
          <cell r="H20">
            <v>1.2187814173128348E-2</v>
          </cell>
          <cell r="I20">
            <v>8.7526079564603908E-3</v>
          </cell>
          <cell r="J20">
            <v>8.796755793157554E-5</v>
          </cell>
        </row>
        <row r="21">
          <cell r="A21">
            <v>18</v>
          </cell>
          <cell r="B21" t="str">
            <v>Cardiff &amp; Vale</v>
          </cell>
          <cell r="C21" t="str">
            <v>Home Renal Dialysis</v>
          </cell>
          <cell r="D21">
            <v>0.13047</v>
          </cell>
          <cell r="E21">
            <v>0.16324</v>
          </cell>
          <cell r="F21">
            <v>0.19187000000000001</v>
          </cell>
          <cell r="G21">
            <v>0.51441999999999999</v>
          </cell>
          <cell r="H21">
            <v>0</v>
          </cell>
          <cell r="I21">
            <v>0</v>
          </cell>
          <cell r="J21">
            <v>0</v>
          </cell>
        </row>
        <row r="22">
          <cell r="A22">
            <v>19</v>
          </cell>
          <cell r="B22" t="str">
            <v>Cardiff &amp; Vale</v>
          </cell>
          <cell r="C22" t="str">
            <v>Renal CAPD (Dialysis)</v>
          </cell>
          <cell r="D22">
            <v>0.20255713766247774</v>
          </cell>
          <cell r="E22">
            <v>8.5253868137417962E-2</v>
          </cell>
          <cell r="F22">
            <v>0.17857599697038154</v>
          </cell>
          <cell r="G22">
            <v>0.48191655567718417</v>
          </cell>
          <cell r="H22">
            <v>0</v>
          </cell>
          <cell r="I22">
            <v>5.1696441552538677E-2</v>
          </cell>
          <cell r="J22">
            <v>0</v>
          </cell>
        </row>
        <row r="23">
          <cell r="A23">
            <v>20</v>
          </cell>
          <cell r="B23" t="str">
            <v>Cardiff &amp; Vale</v>
          </cell>
          <cell r="C23" t="str">
            <v>Hospital Renal Dialysis</v>
          </cell>
          <cell r="D23">
            <v>0.31508467167200516</v>
          </cell>
          <cell r="E23">
            <v>5.3298234961140861E-2</v>
          </cell>
          <cell r="F23">
            <v>0.19876140982604443</v>
          </cell>
          <cell r="G23">
            <v>0.41228420803192156</v>
          </cell>
          <cell r="H23">
            <v>1.1591824913099061E-3</v>
          </cell>
          <cell r="I23">
            <v>1.9412293017578134E-2</v>
          </cell>
          <cell r="J23">
            <v>0</v>
          </cell>
        </row>
        <row r="24">
          <cell r="A24">
            <v>21</v>
          </cell>
          <cell r="B24" t="str">
            <v>Cardiff &amp; Vale</v>
          </cell>
          <cell r="C24" t="str">
            <v>Perinatal</v>
          </cell>
          <cell r="D24">
            <v>0.15576822749791902</v>
          </cell>
          <cell r="E24">
            <v>0.16906416146583764</v>
          </cell>
          <cell r="F24">
            <v>9.5232131090665958E-2</v>
          </cell>
          <cell r="G24">
            <v>0.18773277512612091</v>
          </cell>
          <cell r="H24">
            <v>0.12450694069566186</v>
          </cell>
          <cell r="I24">
            <v>4.3267531680718938E-2</v>
          </cell>
          <cell r="J24">
            <v>0.22442823244307569</v>
          </cell>
        </row>
        <row r="25">
          <cell r="A25">
            <v>22</v>
          </cell>
          <cell r="B25" t="str">
            <v>Cardiff &amp; Vale</v>
          </cell>
          <cell r="C25" t="str">
            <v>Neuropsychiatry</v>
          </cell>
          <cell r="D25">
            <v>0.62242945070454858</v>
          </cell>
          <cell r="E25">
            <v>0.12423633696099207</v>
          </cell>
          <cell r="F25">
            <v>2.8735220003580954E-2</v>
          </cell>
          <cell r="G25">
            <v>0.13708547833540599</v>
          </cell>
          <cell r="H25">
            <v>2.4741928100294732E-3</v>
          </cell>
          <cell r="I25">
            <v>8.5039321185442995E-2</v>
          </cell>
          <cell r="J25">
            <v>0</v>
          </cell>
        </row>
        <row r="26">
          <cell r="A26">
            <v>23</v>
          </cell>
          <cell r="B26" t="str">
            <v>Cardiff &amp; Vale</v>
          </cell>
          <cell r="C26" t="str">
            <v>Mental Illness - Neuropsychiatry daycase</v>
          </cell>
          <cell r="D26">
            <v>0.30810691893081066</v>
          </cell>
          <cell r="E26">
            <v>2.8379716202837968E-2</v>
          </cell>
          <cell r="F26">
            <v>0.14864851351486486</v>
          </cell>
          <cell r="G26">
            <v>0.4662153378466215</v>
          </cell>
          <cell r="H26">
            <v>0</v>
          </cell>
          <cell r="I26">
            <v>4.8649513504864954E-2</v>
          </cell>
          <cell r="J26">
            <v>0</v>
          </cell>
        </row>
        <row r="27">
          <cell r="A27">
            <v>24</v>
          </cell>
          <cell r="B27" t="str">
            <v>Cardiff &amp; Vale</v>
          </cell>
          <cell r="C27" t="str">
            <v>Neurosurgery</v>
          </cell>
          <cell r="D27">
            <v>0.23891094404795357</v>
          </cell>
          <cell r="E27">
            <v>0.22919409052623718</v>
          </cell>
          <cell r="F27">
            <v>0.15297988655170797</v>
          </cell>
          <cell r="G27">
            <v>0.2431607270447346</v>
          </cell>
          <cell r="H27">
            <v>0.12008690508452</v>
          </cell>
          <cell r="I27">
            <v>1.4645723830511596E-2</v>
          </cell>
          <cell r="J27">
            <v>1.0217229143349661E-3</v>
          </cell>
        </row>
        <row r="28">
          <cell r="A28">
            <v>25</v>
          </cell>
          <cell r="B28" t="str">
            <v>Cardiff &amp; Vale</v>
          </cell>
          <cell r="C28" t="str">
            <v>Neurology</v>
          </cell>
          <cell r="D28">
            <v>0.44756930911466758</v>
          </cell>
          <cell r="E28">
            <v>2.1190188723309893E-2</v>
          </cell>
          <cell r="F28">
            <v>0.25188426536285935</v>
          </cell>
          <cell r="G28">
            <v>0.25858149316886425</v>
          </cell>
          <cell r="H28">
            <v>9.6113007201844847E-3</v>
          </cell>
          <cell r="I28">
            <v>1.1108633291474442E-2</v>
          </cell>
          <cell r="J28">
            <v>5.4809618640014416E-5</v>
          </cell>
        </row>
        <row r="29">
          <cell r="A29">
            <v>26</v>
          </cell>
          <cell r="B29" t="str">
            <v>Cardiff &amp; Vale</v>
          </cell>
          <cell r="C29" t="str">
            <v>NICU BH</v>
          </cell>
          <cell r="D29">
            <v>0.66764334136946046</v>
          </cell>
          <cell r="E29">
            <v>3.5587818775293517E-2</v>
          </cell>
          <cell r="F29">
            <v>7.042592563778978E-2</v>
          </cell>
          <cell r="G29">
            <v>0.10151106720012448</v>
          </cell>
          <cell r="H29">
            <v>0.1208798666020178</v>
          </cell>
          <cell r="I29">
            <v>3.9519804153140981E-3</v>
          </cell>
          <cell r="J29">
            <v>0</v>
          </cell>
        </row>
        <row r="30">
          <cell r="A30">
            <v>27</v>
          </cell>
          <cell r="B30" t="str">
            <v>Cardiff &amp; Vale</v>
          </cell>
          <cell r="C30" t="str">
            <v>PICU BH</v>
          </cell>
          <cell r="D30">
            <v>0.18315816841831581</v>
          </cell>
          <cell r="E30">
            <v>0.25534744652553476</v>
          </cell>
          <cell r="F30">
            <v>0.11363886361136388</v>
          </cell>
          <cell r="G30">
            <v>0.27673723262767369</v>
          </cell>
          <cell r="H30">
            <v>0.16777832221677785</v>
          </cell>
          <cell r="I30">
            <v>3.3399666003339967E-3</v>
          </cell>
          <cell r="J30">
            <v>0</v>
          </cell>
        </row>
        <row r="31">
          <cell r="A31">
            <v>28</v>
          </cell>
          <cell r="B31" t="str">
            <v>Cardiff &amp; Vale</v>
          </cell>
          <cell r="C31" t="str">
            <v>Thoracic Surgery</v>
          </cell>
          <cell r="D31">
            <v>0.31885425317781069</v>
          </cell>
          <cell r="E31">
            <v>2.1887703984468133E-2</v>
          </cell>
          <cell r="F31">
            <v>0.28806410862403048</v>
          </cell>
          <cell r="G31">
            <v>0.33469476992938019</v>
          </cell>
          <cell r="H31">
            <v>2.4922360707514704E-2</v>
          </cell>
          <cell r="I31">
            <v>1.1576803576795816E-2</v>
          </cell>
          <cell r="J31">
            <v>0</v>
          </cell>
        </row>
        <row r="32">
          <cell r="A32">
            <v>29</v>
          </cell>
          <cell r="B32" t="str">
            <v>Cardiff &amp; Vale</v>
          </cell>
          <cell r="C32" t="str">
            <v>Thoracic Surgery - Cardiff</v>
          </cell>
          <cell r="D32">
            <v>0.31885425317781069</v>
          </cell>
          <cell r="E32">
            <v>2.1887703984468133E-2</v>
          </cell>
          <cell r="F32">
            <v>0.28806410862403048</v>
          </cell>
          <cell r="G32">
            <v>0.33469476992938019</v>
          </cell>
          <cell r="H32">
            <v>2.4922360707514704E-2</v>
          </cell>
          <cell r="I32">
            <v>1.1576803576795816E-2</v>
          </cell>
          <cell r="J32">
            <v>0</v>
          </cell>
        </row>
        <row r="33">
          <cell r="A33">
            <v>30</v>
          </cell>
          <cell r="B33" t="str">
            <v>Cardiff &amp; Vale</v>
          </cell>
          <cell r="C33" t="str">
            <v>ALAS</v>
          </cell>
          <cell r="D33">
            <v>0.2946329463294633</v>
          </cell>
          <cell r="E33">
            <v>0.19136191361913618</v>
          </cell>
          <cell r="F33">
            <v>0.12732127321273212</v>
          </cell>
          <cell r="G33">
            <v>0.21938219382193822</v>
          </cell>
          <cell r="H33">
            <v>0.12531125311253113</v>
          </cell>
          <cell r="I33">
            <v>2.4700247002470026E-2</v>
          </cell>
          <cell r="J33">
            <v>1.7290172901729017E-2</v>
          </cell>
        </row>
        <row r="34">
          <cell r="A34">
            <v>31</v>
          </cell>
          <cell r="B34" t="str">
            <v>Cardiff &amp; Vale</v>
          </cell>
          <cell r="C34" t="str">
            <v>BAHAS &amp; Cochlears</v>
          </cell>
          <cell r="D34">
            <v>0.41971830985915493</v>
          </cell>
          <cell r="E34">
            <v>1.4084507042253521E-2</v>
          </cell>
          <cell r="F34">
            <v>0.11549295774647887</v>
          </cell>
          <cell r="G34">
            <v>0.30985915492957744</v>
          </cell>
          <cell r="H34">
            <v>9.014084507042254E-2</v>
          </cell>
          <cell r="I34">
            <v>5.0704225352112678E-2</v>
          </cell>
          <cell r="J34">
            <v>0</v>
          </cell>
        </row>
        <row r="35">
          <cell r="A35">
            <v>32</v>
          </cell>
          <cell r="B35" t="str">
            <v>Cardiff &amp; Vale</v>
          </cell>
          <cell r="C35" t="str">
            <v>Clinical Immunology</v>
          </cell>
          <cell r="D35">
            <v>0.2009879901200988</v>
          </cell>
          <cell r="E35">
            <v>0.21809781902180977</v>
          </cell>
          <cell r="F35">
            <v>0.12341876581234189</v>
          </cell>
          <cell r="G35">
            <v>0.24203757962420377</v>
          </cell>
          <cell r="H35">
            <v>0.16012839871601284</v>
          </cell>
          <cell r="I35">
            <v>5.5329446705532942E-2</v>
          </cell>
          <cell r="J35">
            <v>0</v>
          </cell>
        </row>
        <row r="36">
          <cell r="A36">
            <v>33</v>
          </cell>
          <cell r="B36" t="str">
            <v>Cardiff &amp; Vale</v>
          </cell>
          <cell r="C36" t="str">
            <v>Clinical Immunology - Transfer of Service</v>
          </cell>
          <cell r="D36">
            <v>0.20294520655559845</v>
          </cell>
          <cell r="E36">
            <v>0.21789575179423906</v>
          </cell>
          <cell r="F36">
            <v>0.12212981699133454</v>
          </cell>
          <cell r="G36">
            <v>0.24119047008691896</v>
          </cell>
          <cell r="H36">
            <v>0.16030933930489616</v>
          </cell>
          <cell r="I36">
            <v>5.5529415267012702E-2</v>
          </cell>
          <cell r="J36">
            <v>0</v>
          </cell>
        </row>
        <row r="37">
          <cell r="A37">
            <v>34</v>
          </cell>
          <cell r="B37" t="str">
            <v>Cardiff &amp; Vale</v>
          </cell>
          <cell r="C37" t="str">
            <v>Enzyme Replacement Therapy</v>
          </cell>
          <cell r="D37">
            <v>0.1549771712727793</v>
          </cell>
          <cell r="E37">
            <v>0.14396192165534169</v>
          </cell>
          <cell r="F37">
            <v>0.20112852685146487</v>
          </cell>
          <cell r="G37">
            <v>0.35822333918731897</v>
          </cell>
          <cell r="H37">
            <v>0.1246264098710748</v>
          </cell>
          <cell r="I37">
            <v>1.7082631162020395E-2</v>
          </cell>
          <cell r="J37">
            <v>0</v>
          </cell>
        </row>
        <row r="38">
          <cell r="A38">
            <v>35</v>
          </cell>
          <cell r="B38" t="str">
            <v>Cardiff &amp; Vale</v>
          </cell>
          <cell r="C38" t="str">
            <v>Medical Genetics</v>
          </cell>
          <cell r="D38">
            <v>0.20843030773209206</v>
          </cell>
          <cell r="E38">
            <v>0.14546159813809156</v>
          </cell>
          <cell r="F38">
            <v>9.7362296353762617E-2</v>
          </cell>
          <cell r="G38">
            <v>0.18774243599689686</v>
          </cell>
          <cell r="H38">
            <v>2.9092319627618313E-2</v>
          </cell>
          <cell r="I38">
            <v>0.10796483061805018</v>
          </cell>
          <cell r="J38">
            <v>0.22394621153348851</v>
          </cell>
        </row>
        <row r="39">
          <cell r="A39">
            <v>36</v>
          </cell>
          <cell r="B39" t="str">
            <v>Cardiff &amp; Vale</v>
          </cell>
          <cell r="C39" t="str">
            <v>UK GTN Send out tests</v>
          </cell>
          <cell r="D39">
            <v>0.20843030773209206</v>
          </cell>
          <cell r="E39">
            <v>0.14546159813809156</v>
          </cell>
          <cell r="F39">
            <v>9.7362296353762617E-2</v>
          </cell>
          <cell r="G39">
            <v>0.18774243599689686</v>
          </cell>
          <cell r="H39">
            <v>2.9092319627618313E-2</v>
          </cell>
          <cell r="I39">
            <v>0.10796483061805018</v>
          </cell>
          <cell r="J39">
            <v>0.22394621153348851</v>
          </cell>
        </row>
        <row r="40">
          <cell r="A40">
            <v>37</v>
          </cell>
          <cell r="B40" t="str">
            <v>Cardiff &amp; Vale</v>
          </cell>
          <cell r="C40" t="str">
            <v>Regional Pharmaceutical Service</v>
          </cell>
          <cell r="D40">
            <v>0.15576822749791902</v>
          </cell>
          <cell r="E40">
            <v>0.16906416146583761</v>
          </cell>
          <cell r="F40">
            <v>9.5232131090665972E-2</v>
          </cell>
          <cell r="G40">
            <v>0.18773277512612091</v>
          </cell>
          <cell r="H40">
            <v>0.12450694069566186</v>
          </cell>
          <cell r="I40">
            <v>4.3267531680718938E-2</v>
          </cell>
          <cell r="J40">
            <v>0.22442823244307569</v>
          </cell>
        </row>
        <row r="41">
          <cell r="A41">
            <v>38</v>
          </cell>
          <cell r="B41" t="str">
            <v>Cardiff &amp; Vale</v>
          </cell>
          <cell r="C41" t="str">
            <v>Cystic Fibrosis</v>
          </cell>
          <cell r="D41">
            <v>0.2622136618518961</v>
          </cell>
          <cell r="E41">
            <v>0.28492819214282722</v>
          </cell>
          <cell r="F41">
            <v>0.14018158425366764</v>
          </cell>
          <cell r="G41">
            <v>0.20342079460300502</v>
          </cell>
          <cell r="H41">
            <v>8.5698958511447418E-2</v>
          </cell>
          <cell r="I41">
            <v>2.1950537070780516E-2</v>
          </cell>
          <cell r="J41">
            <v>1.606271566376067E-3</v>
          </cell>
        </row>
        <row r="42">
          <cell r="A42">
            <v>39</v>
          </cell>
          <cell r="B42" t="str">
            <v>Cardiff &amp; Vale</v>
          </cell>
          <cell r="C42" t="str">
            <v>NICE / High Cost Drugs</v>
          </cell>
          <cell r="D42">
            <v>0.35613572365806551</v>
          </cell>
          <cell r="E42">
            <v>7.0670800119189145E-3</v>
          </cell>
          <cell r="F42">
            <v>2.7878723930076767E-2</v>
          </cell>
          <cell r="G42">
            <v>0.57523458708144271</v>
          </cell>
          <cell r="H42">
            <v>3.3210888506584969E-2</v>
          </cell>
          <cell r="I42">
            <v>4.7299681191124038E-4</v>
          </cell>
          <cell r="J42">
            <v>0</v>
          </cell>
        </row>
        <row r="43">
          <cell r="A43">
            <v>40</v>
          </cell>
          <cell r="B43" t="str">
            <v>Cardiff &amp; Vale</v>
          </cell>
          <cell r="C43" t="str">
            <v>Renal Transplants</v>
          </cell>
          <cell r="D43">
            <v>0.21781999999999999</v>
          </cell>
          <cell r="E43">
            <v>0.23761999999999997</v>
          </cell>
          <cell r="F43">
            <v>7.9209999999999989E-2</v>
          </cell>
          <cell r="G43">
            <v>0.26732999999999996</v>
          </cell>
          <cell r="H43">
            <v>0.17821999999999996</v>
          </cell>
          <cell r="I43">
            <v>1.9799999999999998E-2</v>
          </cell>
          <cell r="J43">
            <v>0</v>
          </cell>
        </row>
        <row r="44">
          <cell r="A44">
            <v>41</v>
          </cell>
          <cell r="B44" t="str">
            <v>Cardiff &amp; Vale</v>
          </cell>
          <cell r="C44" t="str">
            <v>Spinal Injuries</v>
          </cell>
          <cell r="D44">
            <v>0.3179841641936958</v>
          </cell>
          <cell r="E44">
            <v>0.25353461268152755</v>
          </cell>
          <cell r="F44">
            <v>0.22358081545237282</v>
          </cell>
          <cell r="G44">
            <v>0.13597380216305988</v>
          </cell>
          <cell r="H44">
            <v>6.2707974949376355E-2</v>
          </cell>
          <cell r="I44">
            <v>6.2186305599677052E-3</v>
          </cell>
          <cell r="J44">
            <v>0</v>
          </cell>
        </row>
        <row r="45">
          <cell r="A45">
            <v>42</v>
          </cell>
          <cell r="B45" t="str">
            <v>Cardiff &amp; Vale</v>
          </cell>
          <cell r="C45" t="str">
            <v>Spinal Implants</v>
          </cell>
          <cell r="D45">
            <v>0.16997169971699722</v>
          </cell>
          <cell r="E45">
            <v>0.12062120621206214</v>
          </cell>
          <cell r="F45">
            <v>0.14940149401494016</v>
          </cell>
          <cell r="G45">
            <v>0.34123341233412335</v>
          </cell>
          <cell r="H45">
            <v>0.17945179451794518</v>
          </cell>
          <cell r="I45">
            <v>3.932039320393204E-2</v>
          </cell>
          <cell r="J45">
            <v>0</v>
          </cell>
        </row>
        <row r="46">
          <cell r="A46">
            <v>43</v>
          </cell>
          <cell r="B46" t="str">
            <v>Cardiff &amp; Vale</v>
          </cell>
          <cell r="C46" t="str">
            <v>Paediatric Surgery</v>
          </cell>
          <cell r="D46">
            <v>0.49461719693913636</v>
          </cell>
          <cell r="E46">
            <v>0.11125876307478294</v>
          </cell>
          <cell r="F46">
            <v>8.2566801819410479E-2</v>
          </cell>
          <cell r="G46">
            <v>0.19488002017422762</v>
          </cell>
          <cell r="H46">
            <v>0.1047591918024315</v>
          </cell>
          <cell r="I46">
            <v>1.0111708611326996E-2</v>
          </cell>
          <cell r="J46">
            <v>1.8063175786841321E-3</v>
          </cell>
        </row>
        <row r="47">
          <cell r="A47">
            <v>44</v>
          </cell>
          <cell r="B47" t="str">
            <v>Cardiff &amp; Vale</v>
          </cell>
          <cell r="C47" t="str">
            <v>Paediatric Renal</v>
          </cell>
          <cell r="D47">
            <v>0.47819003971900753</v>
          </cell>
          <cell r="E47">
            <v>0.14999644595287809</v>
          </cell>
          <cell r="F47">
            <v>0.11719996186407297</v>
          </cell>
          <cell r="G47">
            <v>0.15822228742604894</v>
          </cell>
          <cell r="H47">
            <v>9.0824944950959371E-2</v>
          </cell>
          <cell r="I47">
            <v>5.1289690226965275E-3</v>
          </cell>
          <cell r="J47">
            <v>4.3735106433656922E-4</v>
          </cell>
        </row>
        <row r="48">
          <cell r="A48">
            <v>45</v>
          </cell>
          <cell r="B48" t="str">
            <v>Cardiff &amp; Vale</v>
          </cell>
          <cell r="C48" t="str">
            <v>Paediatric Oncology</v>
          </cell>
          <cell r="D48">
            <v>0.31095780509838572</v>
          </cell>
          <cell r="E48">
            <v>0.21266871664692497</v>
          </cell>
          <cell r="F48">
            <v>0.12045132830310969</v>
          </cell>
          <cell r="G48">
            <v>0.27852617244880595</v>
          </cell>
          <cell r="H48">
            <v>5.9950710875265698E-2</v>
          </cell>
          <cell r="I48">
            <v>1.7365316428969761E-2</v>
          </cell>
          <cell r="J48">
            <v>7.995019853826648E-5</v>
          </cell>
        </row>
        <row r="49">
          <cell r="A49">
            <v>46</v>
          </cell>
          <cell r="B49" t="str">
            <v>Cardiff &amp; Vale</v>
          </cell>
          <cell r="C49" t="str">
            <v>Paediatric Neurology</v>
          </cell>
          <cell r="D49">
            <v>0.58957194143398295</v>
          </cell>
          <cell r="E49">
            <v>5.5738994252142481E-2</v>
          </cell>
          <cell r="F49">
            <v>0.12900814406814101</v>
          </cell>
          <cell r="G49">
            <v>0.18789705462884548</v>
          </cell>
          <cell r="H49">
            <v>2.9514142809694423E-2</v>
          </cell>
          <cell r="I49">
            <v>5.8413823879647263E-3</v>
          </cell>
          <cell r="J49">
            <v>2.4283404192289811E-3</v>
          </cell>
        </row>
        <row r="50">
          <cell r="A50">
            <v>47</v>
          </cell>
          <cell r="B50" t="str">
            <v>Cardiff &amp; Vale</v>
          </cell>
          <cell r="C50" t="str">
            <v>Paediatric Gastroenterology</v>
          </cell>
          <cell r="D50">
            <v>0.57816725725686646</v>
          </cell>
          <cell r="E50">
            <v>4.0325684060832395E-2</v>
          </cell>
          <cell r="F50">
            <v>0.10257501939533369</v>
          </cell>
          <cell r="G50">
            <v>0.24480416372221572</v>
          </cell>
          <cell r="H50">
            <v>2.5222292316850768E-2</v>
          </cell>
          <cell r="I50">
            <v>8.9055832479010763E-3</v>
          </cell>
          <cell r="J50">
            <v>0</v>
          </cell>
        </row>
        <row r="51">
          <cell r="A51">
            <v>48</v>
          </cell>
          <cell r="B51" t="str">
            <v>Cardiff &amp; Vale</v>
          </cell>
          <cell r="C51" t="str">
            <v>Paediatric ENT</v>
          </cell>
          <cell r="D51">
            <v>0.76259804485682603</v>
          </cell>
          <cell r="E51">
            <v>3.5321725572136406E-2</v>
          </cell>
          <cell r="F51">
            <v>3.3618263631685533E-2</v>
          </cell>
          <cell r="G51">
            <v>0.1149187587404725</v>
          </cell>
          <cell r="H51">
            <v>2.6062523993515895E-2</v>
          </cell>
          <cell r="I51">
            <v>2.7480683205364131E-2</v>
          </cell>
          <cell r="J51">
            <v>0</v>
          </cell>
        </row>
        <row r="52">
          <cell r="A52">
            <v>49</v>
          </cell>
          <cell r="B52" t="str">
            <v>Cardiff &amp; Vale</v>
          </cell>
          <cell r="C52" t="str">
            <v>Paediatric Cardiology</v>
          </cell>
          <cell r="D52">
            <v>0.60454679845347226</v>
          </cell>
          <cell r="E52">
            <v>4.742416248526285E-2</v>
          </cell>
          <cell r="F52">
            <v>9.7317559870906248E-2</v>
          </cell>
          <cell r="G52">
            <v>0.20505678683781611</v>
          </cell>
          <cell r="H52">
            <v>3.7099296852544511E-2</v>
          </cell>
          <cell r="I52">
            <v>8.2399012544936492E-3</v>
          </cell>
          <cell r="J52">
            <v>3.154942455042713E-4</v>
          </cell>
        </row>
        <row r="53">
          <cell r="A53">
            <v>50</v>
          </cell>
          <cell r="B53" t="str">
            <v>Cardiff &amp; Vale</v>
          </cell>
          <cell r="C53" t="str">
            <v>Fetal Cardiology</v>
          </cell>
          <cell r="D53">
            <v>0.59433174941701272</v>
          </cell>
          <cell r="E53">
            <v>3.8701747515945711E-2</v>
          </cell>
          <cell r="F53">
            <v>0.11841574525551953</v>
          </cell>
          <cell r="G53">
            <v>0.21693341318555845</v>
          </cell>
          <cell r="H53">
            <v>2.2494752807341974E-2</v>
          </cell>
          <cell r="I53">
            <v>8.8830693302861339E-3</v>
          </cell>
          <cell r="J53">
            <v>2.3952248833551473E-4</v>
          </cell>
        </row>
        <row r="54">
          <cell r="A54">
            <v>51</v>
          </cell>
          <cell r="B54" t="str">
            <v>Cardiff &amp; Vale</v>
          </cell>
          <cell r="C54" t="str">
            <v>Paeds Cystic Fibrosis</v>
          </cell>
          <cell r="D54">
            <v>0.47222000000000003</v>
          </cell>
          <cell r="E54">
            <v>0</v>
          </cell>
          <cell r="F54">
            <v>0.20832999999999999</v>
          </cell>
          <cell r="G54">
            <v>0.18056</v>
          </cell>
          <cell r="H54">
            <v>0.13889000000000001</v>
          </cell>
          <cell r="I54">
            <v>0</v>
          </cell>
          <cell r="J54">
            <v>0</v>
          </cell>
        </row>
        <row r="55">
          <cell r="A55">
            <v>52</v>
          </cell>
          <cell r="B55" t="str">
            <v>Cardiff &amp; Vale</v>
          </cell>
          <cell r="C55" t="str">
            <v>ISAT - Coils</v>
          </cell>
          <cell r="D55">
            <v>0.17660000000000001</v>
          </cell>
          <cell r="E55">
            <v>0.28588000000000002</v>
          </cell>
          <cell r="F55">
            <v>0.12978000000000001</v>
          </cell>
          <cell r="G55">
            <v>0.24281</v>
          </cell>
          <cell r="H55">
            <v>0.16264000000000001</v>
          </cell>
          <cell r="I55">
            <v>2.2899999999999999E-3</v>
          </cell>
          <cell r="J55">
            <v>0</v>
          </cell>
        </row>
        <row r="56">
          <cell r="A56">
            <v>53</v>
          </cell>
          <cell r="B56" t="str">
            <v>Cardiff &amp; Vale</v>
          </cell>
          <cell r="C56" t="str">
            <v>Neuro Rehab</v>
          </cell>
          <cell r="D56">
            <v>0.53818749354127005</v>
          </cell>
          <cell r="E56">
            <v>1.5973644038756645E-3</v>
          </cell>
          <cell r="F56">
            <v>0.12315167979037375</v>
          </cell>
          <cell r="G56">
            <v>0.30286213623413055</v>
          </cell>
          <cell r="H56">
            <v>3.3957768944190662E-2</v>
          </cell>
          <cell r="I56">
            <v>2.4355708615927954E-4</v>
          </cell>
          <cell r="J56">
            <v>0</v>
          </cell>
        </row>
        <row r="57">
          <cell r="A57">
            <v>54</v>
          </cell>
          <cell r="B57" t="str">
            <v>Cardiff &amp; Vale</v>
          </cell>
          <cell r="C57" t="str">
            <v>Mother &amp; Baby</v>
          </cell>
          <cell r="D57">
            <v>0.74350708269811805</v>
          </cell>
          <cell r="E57">
            <v>0.11769837374847199</v>
          </cell>
          <cell r="F57">
            <v>5.9823446920315257E-2</v>
          </cell>
          <cell r="G57">
            <v>2.0664192115119488E-2</v>
          </cell>
          <cell r="H57">
            <v>5.830690451797519E-2</v>
          </cell>
          <cell r="I57">
            <v>0</v>
          </cell>
          <cell r="J57">
            <v>0</v>
          </cell>
        </row>
        <row r="58">
          <cell r="A58">
            <v>55</v>
          </cell>
          <cell r="B58" t="str">
            <v>Cardiff &amp; Vale</v>
          </cell>
          <cell r="C58" t="str">
            <v>Haemophilia Ref Centre</v>
          </cell>
          <cell r="D58">
            <v>0.34824080339275909</v>
          </cell>
          <cell r="E58">
            <v>0.11037546550828473</v>
          </cell>
          <cell r="F58">
            <v>0.14292905152642962</v>
          </cell>
          <cell r="G58">
            <v>0.27107137745075766</v>
          </cell>
          <cell r="H58">
            <v>2.8781480518839993E-2</v>
          </cell>
          <cell r="I58">
            <v>9.8601821602928838E-2</v>
          </cell>
          <cell r="J58">
            <v>0</v>
          </cell>
        </row>
        <row r="59">
          <cell r="A59">
            <v>56</v>
          </cell>
          <cell r="B59" t="str">
            <v>Cardiff &amp; Vale</v>
          </cell>
          <cell r="C59" t="str">
            <v>Home TPN</v>
          </cell>
          <cell r="D59">
            <v>0.51596000000000009</v>
          </cell>
          <cell r="E59">
            <v>3.5780000000000006E-2</v>
          </cell>
          <cell r="F59">
            <v>0.16199000000000002</v>
          </cell>
          <cell r="G59">
            <v>0.17263000000000003</v>
          </cell>
          <cell r="H59">
            <v>7.9790000000000014E-2</v>
          </cell>
          <cell r="I59">
            <v>3.3850000000000005E-2</v>
          </cell>
          <cell r="J59">
            <v>0</v>
          </cell>
        </row>
        <row r="60">
          <cell r="A60">
            <v>57</v>
          </cell>
          <cell r="B60" t="str">
            <v>Cardiff &amp; Vale</v>
          </cell>
          <cell r="C60" t="str">
            <v>Long-Term Ventilation</v>
          </cell>
          <cell r="D60">
            <v>0.15576822749791902</v>
          </cell>
          <cell r="E60">
            <v>0.16906416146583764</v>
          </cell>
          <cell r="F60">
            <v>9.5232131090665958E-2</v>
          </cell>
          <cell r="G60">
            <v>0.18773277512612091</v>
          </cell>
          <cell r="H60">
            <v>0.12450694069566186</v>
          </cell>
          <cell r="I60">
            <v>4.3267531680718938E-2</v>
          </cell>
          <cell r="J60">
            <v>0.22442823244307569</v>
          </cell>
        </row>
        <row r="61">
          <cell r="A61">
            <v>58</v>
          </cell>
          <cell r="B61" t="str">
            <v>Cardiff &amp; Vale</v>
          </cell>
          <cell r="C61" t="str">
            <v>Lymphoma Panel</v>
          </cell>
          <cell r="D61">
            <v>0.15576822749791902</v>
          </cell>
          <cell r="E61">
            <v>0.16906416146583764</v>
          </cell>
          <cell r="F61">
            <v>9.5232131090665958E-2</v>
          </cell>
          <cell r="G61">
            <v>0.18773277512612091</v>
          </cell>
          <cell r="H61">
            <v>0.12450694069566184</v>
          </cell>
          <cell r="I61">
            <v>4.3267531680718938E-2</v>
          </cell>
          <cell r="J61">
            <v>0.22442823244307569</v>
          </cell>
        </row>
        <row r="62">
          <cell r="A62">
            <v>59</v>
          </cell>
          <cell r="B62" t="str">
            <v>Cardiff &amp; Vale</v>
          </cell>
          <cell r="C62" t="str">
            <v>Capital Charges</v>
          </cell>
          <cell r="D62">
            <v>0.35001386185433947</v>
          </cell>
          <cell r="E62">
            <v>0.16056442050612049</v>
          </cell>
          <cell r="F62">
            <v>0.29145252768106839</v>
          </cell>
          <cell r="G62">
            <v>0.10428049312826078</v>
          </cell>
          <cell r="H62">
            <v>6.018772692221578E-2</v>
          </cell>
          <cell r="I62">
            <v>2.0088438704823096E-2</v>
          </cell>
          <cell r="J62">
            <v>1.3412531203172234E-2</v>
          </cell>
        </row>
        <row r="63">
          <cell r="A63">
            <v>60</v>
          </cell>
          <cell r="B63" t="str">
            <v>Cardiff &amp; Vale</v>
          </cell>
          <cell r="C63" t="str">
            <v>Teenage Cancer Unit</v>
          </cell>
          <cell r="D63">
            <v>0.29292013729175792</v>
          </cell>
          <cell r="E63">
            <v>0.16611284353945119</v>
          </cell>
          <cell r="F63">
            <v>0.16902127909800765</v>
          </cell>
          <cell r="G63">
            <v>0.27339497755287789</v>
          </cell>
          <cell r="H63">
            <v>8.8175019550109937E-2</v>
          </cell>
          <cell r="I63">
            <v>1.0375742967795554E-2</v>
          </cell>
          <cell r="J63">
            <v>0</v>
          </cell>
        </row>
        <row r="64">
          <cell r="A64">
            <v>61</v>
          </cell>
          <cell r="B64" t="str">
            <v>Cardiff &amp; Vale</v>
          </cell>
          <cell r="C64" t="str">
            <v>Paeds Haematologist</v>
          </cell>
          <cell r="D64">
            <v>0.15576822749791902</v>
          </cell>
          <cell r="E64">
            <v>0.16906416146583764</v>
          </cell>
          <cell r="F64">
            <v>9.5232131090665958E-2</v>
          </cell>
          <cell r="G64">
            <v>0.18773277512612091</v>
          </cell>
          <cell r="H64">
            <v>0.12450694069566186</v>
          </cell>
          <cell r="I64">
            <v>4.3267531680718938E-2</v>
          </cell>
          <cell r="J64">
            <v>0.22442823244307569</v>
          </cell>
        </row>
        <row r="65">
          <cell r="A65">
            <v>62</v>
          </cell>
          <cell r="B65" t="str">
            <v>Cardiff &amp; Vale</v>
          </cell>
          <cell r="C65" t="str">
            <v>Specialist Physio</v>
          </cell>
          <cell r="D65">
            <v>0.15576822749791902</v>
          </cell>
          <cell r="E65">
            <v>0.16906416146583764</v>
          </cell>
          <cell r="F65">
            <v>9.5232131090665958E-2</v>
          </cell>
          <cell r="G65">
            <v>0.18773277512612088</v>
          </cell>
          <cell r="H65">
            <v>0.12450694069566186</v>
          </cell>
          <cell r="I65">
            <v>4.3267531680718931E-2</v>
          </cell>
          <cell r="J65">
            <v>0.22442823244307569</v>
          </cell>
        </row>
        <row r="66">
          <cell r="A66">
            <v>63</v>
          </cell>
          <cell r="B66" t="str">
            <v>Cardiff &amp; Vale</v>
          </cell>
          <cell r="C66" t="str">
            <v>AICU</v>
          </cell>
          <cell r="D66">
            <v>0.25177496450071002</v>
          </cell>
          <cell r="E66">
            <v>0.2730745385092298</v>
          </cell>
          <cell r="F66">
            <v>8.8768224635507292E-2</v>
          </cell>
          <cell r="G66">
            <v>0.21820563588728226</v>
          </cell>
          <cell r="H66">
            <v>0.13976720465590689</v>
          </cell>
          <cell r="I66">
            <v>2.8409431811363777E-2</v>
          </cell>
          <cell r="J66">
            <v>0</v>
          </cell>
        </row>
        <row r="67">
          <cell r="A67">
            <v>64</v>
          </cell>
          <cell r="B67" t="str">
            <v>Cardiff &amp; Vale</v>
          </cell>
          <cell r="C67" t="str">
            <v>HDU</v>
          </cell>
          <cell r="D67">
            <v>0.39967399673996745</v>
          </cell>
          <cell r="E67">
            <v>0.14096140961409614</v>
          </cell>
          <cell r="F67">
            <v>0.13101131011310113</v>
          </cell>
          <cell r="G67">
            <v>0.22056220562205622</v>
          </cell>
          <cell r="H67">
            <v>0.10116101161011611</v>
          </cell>
          <cell r="I67">
            <v>6.6300663006630062E-3</v>
          </cell>
          <cell r="J67">
            <v>0</v>
          </cell>
        </row>
        <row r="68">
          <cell r="A68">
            <v>65</v>
          </cell>
          <cell r="B68" t="str">
            <v>Cardiff &amp; Vale</v>
          </cell>
          <cell r="C68" t="str">
            <v>Inflation/SCEP to be allocated to services</v>
          </cell>
          <cell r="D68">
            <v>0.34845096235168621</v>
          </cell>
          <cell r="E68">
            <v>0.10209884513427292</v>
          </cell>
          <cell r="F68">
            <v>0.15792213408407327</v>
          </cell>
          <cell r="G68">
            <v>0.2940871514628875</v>
          </cell>
          <cell r="H68">
            <v>6.3335732874080411E-2</v>
          </cell>
          <cell r="I68">
            <v>2.0077469616975999E-2</v>
          </cell>
          <cell r="J68">
            <v>1.4027704476023911E-2</v>
          </cell>
        </row>
        <row r="69">
          <cell r="A69">
            <v>66</v>
          </cell>
          <cell r="B69" t="str">
            <v>Cardiff &amp; Vale</v>
          </cell>
          <cell r="C69" t="str">
            <v>Liver Cancer Development</v>
          </cell>
          <cell r="D69">
            <v>0.18033000000000002</v>
          </cell>
          <cell r="E69">
            <v>0.19672000000000003</v>
          </cell>
          <cell r="F69">
            <v>0.18033000000000002</v>
          </cell>
          <cell r="G69">
            <v>0.20492000000000005</v>
          </cell>
          <cell r="H69">
            <v>0.18852000000000002</v>
          </cell>
          <cell r="I69">
            <v>4.0980000000000009E-2</v>
          </cell>
          <cell r="J69">
            <v>8.2000000000000024E-3</v>
          </cell>
        </row>
        <row r="70">
          <cell r="A70">
            <v>67</v>
          </cell>
          <cell r="B70" t="str">
            <v>Cardiff &amp; Vale</v>
          </cell>
          <cell r="C70" t="str">
            <v>Hepatology</v>
          </cell>
          <cell r="D70">
            <v>0.17778177781777812</v>
          </cell>
          <cell r="E70">
            <v>0.24444244442444418</v>
          </cell>
          <cell r="F70">
            <v>0.14444144441444415</v>
          </cell>
          <cell r="G70">
            <v>0.21111211112111117</v>
          </cell>
          <cell r="H70">
            <v>0.21111211112111117</v>
          </cell>
          <cell r="I70">
            <v>1.1110111101111011E-2</v>
          </cell>
          <cell r="J70">
            <v>0</v>
          </cell>
        </row>
        <row r="71">
          <cell r="A71">
            <v>68</v>
          </cell>
          <cell r="B71" t="str">
            <v>Cardiff &amp; Vale</v>
          </cell>
          <cell r="C71" t="str">
            <v>To charge only actual device cost  DES, ICD, ISAT etc (provisional)</v>
          </cell>
          <cell r="D71">
            <v>0.19383259911894274</v>
          </cell>
          <cell r="E71">
            <v>0.12542109354755118</v>
          </cell>
          <cell r="F71">
            <v>0.24358642135268202</v>
          </cell>
          <cell r="G71">
            <v>0.21572946359160405</v>
          </cell>
          <cell r="H71">
            <v>0.16377299818605856</v>
          </cell>
          <cell r="I71">
            <v>5.7657424203161438E-2</v>
          </cell>
          <cell r="J71">
            <v>0</v>
          </cell>
        </row>
        <row r="72">
          <cell r="A72">
            <v>69</v>
          </cell>
          <cell r="B72" t="str">
            <v>Cardiff &amp; Vale</v>
          </cell>
          <cell r="C72" t="str">
            <v>Epilepsy Surgery</v>
          </cell>
          <cell r="D72">
            <v>0.20459924531112836</v>
          </cell>
          <cell r="E72">
            <v>0.22434215911349825</v>
          </cell>
          <cell r="F72">
            <v>0.12698486941058826</v>
          </cell>
          <cell r="G72">
            <v>0.2497818348909131</v>
          </cell>
          <cell r="H72">
            <v>0.16549712844912001</v>
          </cell>
          <cell r="I72">
            <v>2.8794762824752029E-2</v>
          </cell>
          <cell r="J72">
            <v>0</v>
          </cell>
        </row>
        <row r="73">
          <cell r="A73">
            <v>70</v>
          </cell>
          <cell r="B73" t="str">
            <v>Cardiff &amp; Vale</v>
          </cell>
          <cell r="C73" t="str">
            <v>Children's Hospital for Wales</v>
          </cell>
          <cell r="D73">
            <v>0.4576271186440678</v>
          </cell>
          <cell r="E73">
            <v>0.13559322033898305</v>
          </cell>
          <cell r="F73">
            <v>0.11864406779661017</v>
          </cell>
          <cell r="G73">
            <v>0.20338983050847459</v>
          </cell>
          <cell r="H73">
            <v>6.7796610169491525E-2</v>
          </cell>
          <cell r="I73">
            <v>1.6949152542372881E-2</v>
          </cell>
          <cell r="J73">
            <v>0</v>
          </cell>
        </row>
        <row r="74">
          <cell r="A74">
            <v>71</v>
          </cell>
          <cell r="B74" t="str">
            <v>Cardiff &amp; Vale</v>
          </cell>
          <cell r="C74" t="str">
            <v>Communication Equipment (AAC)</v>
          </cell>
          <cell r="D74">
            <v>0.14979999999999999</v>
          </cell>
          <cell r="E74">
            <v>0.16600000000000001</v>
          </cell>
          <cell r="F74">
            <v>9.7199999999999995E-2</v>
          </cell>
          <cell r="G74">
            <v>0.18759999999999999</v>
          </cell>
          <cell r="H74">
            <v>0.12690000000000001</v>
          </cell>
          <cell r="I74">
            <v>4.4499999999999998E-2</v>
          </cell>
          <cell r="J74">
            <v>0.22800000000000001</v>
          </cell>
        </row>
        <row r="75">
          <cell r="A75">
            <v>72</v>
          </cell>
          <cell r="B75" t="str">
            <v>Cardiff &amp; Vale</v>
          </cell>
          <cell r="C75" t="str">
            <v>Paeds Neuro Rehab</v>
          </cell>
          <cell r="D75">
            <v>0.20459924531112836</v>
          </cell>
          <cell r="E75">
            <v>0.22434215911349825</v>
          </cell>
          <cell r="F75">
            <v>0.12698486941058826</v>
          </cell>
          <cell r="G75">
            <v>0.2497818348909131</v>
          </cell>
          <cell r="H75">
            <v>0.16549712844912001</v>
          </cell>
          <cell r="I75">
            <v>2.8794762824752029E-2</v>
          </cell>
          <cell r="J75">
            <v>0</v>
          </cell>
        </row>
        <row r="76">
          <cell r="A76">
            <v>73</v>
          </cell>
          <cell r="B76" t="str">
            <v>Cardiff &amp; Vale</v>
          </cell>
          <cell r="C76" t="str">
            <v>ILD RHIG Funded</v>
          </cell>
          <cell r="D76">
            <v>0.20459924531112836</v>
          </cell>
          <cell r="E76">
            <v>0.22434215911349825</v>
          </cell>
          <cell r="F76">
            <v>0.12698486941058826</v>
          </cell>
          <cell r="G76">
            <v>0.2497818348909131</v>
          </cell>
          <cell r="H76">
            <v>0.16549712844912001</v>
          </cell>
          <cell r="I76">
            <v>2.8794762824752029E-2</v>
          </cell>
          <cell r="J76">
            <v>0</v>
          </cell>
        </row>
        <row r="77">
          <cell r="A77">
            <v>74</v>
          </cell>
          <cell r="B77" t="str">
            <v>ABMU</v>
          </cell>
          <cell r="C77" t="str">
            <v>Renal</v>
          </cell>
          <cell r="D77">
            <v>3.7366668332807457E-3</v>
          </cell>
          <cell r="E77">
            <v>0.77507095593934872</v>
          </cell>
          <cell r="F77">
            <v>3.4626477392368975E-3</v>
          </cell>
          <cell r="G77">
            <v>1.0553857446644766E-3</v>
          </cell>
          <cell r="H77">
            <v>0.20070194327647928</v>
          </cell>
          <cell r="I77">
            <v>1.431601919059944E-2</v>
          </cell>
          <cell r="J77">
            <v>1.6563812763905209E-3</v>
          </cell>
        </row>
        <row r="78">
          <cell r="A78">
            <v>75</v>
          </cell>
          <cell r="B78" t="str">
            <v>ABMU</v>
          </cell>
          <cell r="C78" t="str">
            <v>Renal - West Wales ISP Units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1</v>
          </cell>
          <cell r="I78">
            <v>0</v>
          </cell>
          <cell r="J78">
            <v>0</v>
          </cell>
        </row>
        <row r="79">
          <cell r="A79">
            <v>76</v>
          </cell>
          <cell r="B79" t="str">
            <v>ABMU</v>
          </cell>
          <cell r="C79" t="str">
            <v>Cardiac Surgery</v>
          </cell>
          <cell r="D79">
            <v>2.6283248772981046E-2</v>
          </cell>
          <cell r="E79">
            <v>0.51103107083390054</v>
          </cell>
          <cell r="F79">
            <v>3.4131054024020406E-3</v>
          </cell>
          <cell r="G79">
            <v>2.941715445067143E-3</v>
          </cell>
          <cell r="H79">
            <v>0.41623978031039266</v>
          </cell>
          <cell r="I79">
            <v>3.4602289610256895E-2</v>
          </cell>
          <cell r="J79">
            <v>5.4887896249996319E-3</v>
          </cell>
        </row>
        <row r="80">
          <cell r="A80">
            <v>77</v>
          </cell>
          <cell r="B80" t="str">
            <v>ABMU</v>
          </cell>
          <cell r="C80" t="str">
            <v>Cardiology</v>
          </cell>
          <cell r="D80">
            <v>8.0028320202418703E-3</v>
          </cell>
          <cell r="E80">
            <v>0.50294144731419532</v>
          </cell>
          <cell r="F80">
            <v>5.9447619880108526E-3</v>
          </cell>
          <cell r="G80">
            <v>2.6449773887939829E-3</v>
          </cell>
          <cell r="H80">
            <v>0.43807143556225803</v>
          </cell>
          <cell r="I80">
            <v>3.2633462364707849E-2</v>
          </cell>
          <cell r="J80">
            <v>9.7610833617921278E-3</v>
          </cell>
        </row>
        <row r="81">
          <cell r="A81">
            <v>78</v>
          </cell>
          <cell r="B81" t="str">
            <v>ABMU</v>
          </cell>
          <cell r="C81" t="str">
            <v>Cardiology PPCI</v>
          </cell>
          <cell r="D81">
            <v>8.0028320202418703E-3</v>
          </cell>
          <cell r="E81">
            <v>0.50294144731419532</v>
          </cell>
          <cell r="F81">
            <v>5.9447619880108526E-3</v>
          </cell>
          <cell r="G81">
            <v>2.6449773887939829E-3</v>
          </cell>
          <cell r="H81">
            <v>0.43807143556225803</v>
          </cell>
          <cell r="I81">
            <v>3.2633462364707849E-2</v>
          </cell>
          <cell r="J81">
            <v>9.7610833617921278E-3</v>
          </cell>
        </row>
        <row r="82">
          <cell r="A82">
            <v>79</v>
          </cell>
          <cell r="B82" t="str">
            <v>ABMU</v>
          </cell>
          <cell r="C82" t="str">
            <v>Cardiology PPCI Jumbulance</v>
          </cell>
          <cell r="D82">
            <v>8.0028320202418703E-3</v>
          </cell>
          <cell r="E82">
            <v>0.50294144731419532</v>
          </cell>
          <cell r="F82">
            <v>5.9447619880108526E-3</v>
          </cell>
          <cell r="G82">
            <v>2.6449773887939829E-3</v>
          </cell>
          <cell r="H82">
            <v>0.43807143556225803</v>
          </cell>
          <cell r="I82">
            <v>3.2633462364707849E-2</v>
          </cell>
          <cell r="J82">
            <v>9.7610833617921278E-3</v>
          </cell>
        </row>
        <row r="83">
          <cell r="A83">
            <v>80</v>
          </cell>
          <cell r="B83" t="str">
            <v>ABMU</v>
          </cell>
          <cell r="C83" t="str">
            <v>Thoracic</v>
          </cell>
          <cell r="D83">
            <v>1.2135922330097087E-2</v>
          </cell>
          <cell r="E83">
            <v>0.67233009708737856</v>
          </cell>
          <cell r="F83">
            <v>4.8543689320388345E-3</v>
          </cell>
          <cell r="G83">
            <v>2.4271844660194173E-3</v>
          </cell>
          <cell r="H83">
            <v>0.28640776699029125</v>
          </cell>
          <cell r="I83">
            <v>1.9417475728155338E-2</v>
          </cell>
          <cell r="J83">
            <v>2.4271844660194173E-3</v>
          </cell>
        </row>
        <row r="84">
          <cell r="A84">
            <v>81</v>
          </cell>
          <cell r="B84" t="str">
            <v>ABMU</v>
          </cell>
          <cell r="C84" t="str">
            <v>Plastics</v>
          </cell>
          <cell r="D84">
            <v>7.3965750848648953E-2</v>
          </cell>
          <cell r="E84">
            <v>0.43297983025123465</v>
          </cell>
          <cell r="F84">
            <v>9.8404420643872531E-2</v>
          </cell>
          <cell r="G84">
            <v>0.14959513781282277</v>
          </cell>
          <cell r="H84">
            <v>0.21572805246753751</v>
          </cell>
          <cell r="I84">
            <v>2.7887164681669831E-2</v>
          </cell>
          <cell r="J84">
            <v>1.439643294213794E-3</v>
          </cell>
        </row>
        <row r="85">
          <cell r="A85">
            <v>82</v>
          </cell>
          <cell r="B85" t="str">
            <v>ABMU</v>
          </cell>
          <cell r="C85" t="str">
            <v>CLP</v>
          </cell>
          <cell r="D85">
            <v>0.19402985074626863</v>
          </cell>
          <cell r="E85">
            <v>0.25373134328358204</v>
          </cell>
          <cell r="F85">
            <v>0.16417910447761194</v>
          </cell>
          <cell r="G85">
            <v>0.20895522388059701</v>
          </cell>
          <cell r="H85">
            <v>0.14925373134328357</v>
          </cell>
          <cell r="I85">
            <v>2.9850746268656712E-2</v>
          </cell>
          <cell r="J85">
            <v>0</v>
          </cell>
        </row>
        <row r="86">
          <cell r="A86">
            <v>83</v>
          </cell>
          <cell r="B86" t="str">
            <v>ABMU</v>
          </cell>
          <cell r="C86" t="str">
            <v>Burns</v>
          </cell>
          <cell r="D86">
            <v>0.16452686638135994</v>
          </cell>
          <cell r="E86">
            <v>0.35140275796481213</v>
          </cell>
          <cell r="F86">
            <v>8.7018544935805978E-2</v>
          </cell>
          <cell r="G86">
            <v>0.15977175463623394</v>
          </cell>
          <cell r="H86">
            <v>0.19828815977175462</v>
          </cell>
          <cell r="I86">
            <v>2.5677603423680456E-2</v>
          </cell>
          <cell r="J86">
            <v>1.3314312886352828E-2</v>
          </cell>
        </row>
        <row r="87">
          <cell r="A87">
            <v>84</v>
          </cell>
          <cell r="B87" t="str">
            <v>ABMU</v>
          </cell>
          <cell r="C87" t="str">
            <v>Rehab</v>
          </cell>
          <cell r="D87">
            <v>4.4555288250160103E-4</v>
          </cell>
          <cell r="E87">
            <v>0.68016641275879675</v>
          </cell>
          <cell r="F87">
            <v>0</v>
          </cell>
          <cell r="G87">
            <v>4.9982623539008028E-5</v>
          </cell>
          <cell r="H87">
            <v>0.30406554262933433</v>
          </cell>
          <cell r="I87">
            <v>1.5222526482289101E-2</v>
          </cell>
          <cell r="J87">
            <v>4.9982623539008028E-5</v>
          </cell>
        </row>
        <row r="88">
          <cell r="A88">
            <v>85</v>
          </cell>
          <cell r="B88" t="str">
            <v>ABMU</v>
          </cell>
          <cell r="C88" t="str">
            <v>Rehab Slippage</v>
          </cell>
          <cell r="D88">
            <v>4.4555288250160103E-4</v>
          </cell>
          <cell r="E88">
            <v>0.68016641275879675</v>
          </cell>
          <cell r="F88">
            <v>0</v>
          </cell>
          <cell r="G88">
            <v>4.9982623539008028E-5</v>
          </cell>
          <cell r="H88">
            <v>0.30406554262933433</v>
          </cell>
          <cell r="I88">
            <v>1.5222526482289101E-2</v>
          </cell>
          <cell r="J88">
            <v>4.9982623539008028E-5</v>
          </cell>
        </row>
        <row r="89">
          <cell r="A89">
            <v>86</v>
          </cell>
          <cell r="B89" t="str">
            <v>ABMU</v>
          </cell>
          <cell r="C89" t="str">
            <v>NICU</v>
          </cell>
          <cell r="D89">
            <v>5.5089559765107925E-2</v>
          </cell>
          <cell r="E89">
            <v>0.56466194818311288</v>
          </cell>
          <cell r="F89">
            <v>7.2729369925045056E-2</v>
          </cell>
          <cell r="G89">
            <v>6.8669703664601626E-3</v>
          </cell>
          <cell r="H89">
            <v>0.27987624548589285</v>
          </cell>
          <cell r="I89">
            <v>2.0775906274380945E-2</v>
          </cell>
          <cell r="J89">
            <v>0</v>
          </cell>
        </row>
        <row r="90">
          <cell r="A90">
            <v>87</v>
          </cell>
          <cell r="B90" t="str">
            <v>ABMU</v>
          </cell>
          <cell r="C90" t="str">
            <v>ALAC</v>
          </cell>
          <cell r="D90">
            <v>0</v>
          </cell>
          <cell r="E90">
            <v>0.55174825174825171</v>
          </cell>
          <cell r="F90">
            <v>0</v>
          </cell>
          <cell r="G90">
            <v>0</v>
          </cell>
          <cell r="H90">
            <v>0.40069930069930065</v>
          </cell>
          <cell r="I90">
            <v>4.7552447552447551E-2</v>
          </cell>
          <cell r="J90">
            <v>0</v>
          </cell>
        </row>
        <row r="91">
          <cell r="A91">
            <v>88</v>
          </cell>
          <cell r="B91" t="str">
            <v>ABMU</v>
          </cell>
          <cell r="C91" t="str">
            <v>NICE</v>
          </cell>
          <cell r="D91">
            <v>0</v>
          </cell>
          <cell r="E91">
            <v>0.77243678799666571</v>
          </cell>
          <cell r="F91">
            <v>0</v>
          </cell>
          <cell r="G91">
            <v>0</v>
          </cell>
          <cell r="H91">
            <v>0.22612183939983332</v>
          </cell>
          <cell r="I91">
            <v>1.4413726035009725E-3</v>
          </cell>
          <cell r="J91">
            <v>0</v>
          </cell>
        </row>
        <row r="92">
          <cell r="A92">
            <v>89</v>
          </cell>
          <cell r="B92" t="str">
            <v>ABMU</v>
          </cell>
          <cell r="C92" t="str">
            <v>Clinical Genetics</v>
          </cell>
          <cell r="D92">
            <v>0</v>
          </cell>
          <cell r="E92">
            <v>0.76497695852534564</v>
          </cell>
          <cell r="F92">
            <v>0</v>
          </cell>
          <cell r="G92">
            <v>0</v>
          </cell>
          <cell r="H92">
            <v>0.2119815668202765</v>
          </cell>
          <cell r="I92">
            <v>2.3041474654377881E-2</v>
          </cell>
          <cell r="J92">
            <v>0</v>
          </cell>
        </row>
        <row r="93">
          <cell r="A93">
            <v>90</v>
          </cell>
          <cell r="B93" t="str">
            <v>ABMU</v>
          </cell>
          <cell r="C93" t="str">
            <v>Cochlears</v>
          </cell>
          <cell r="D93">
            <v>0</v>
          </cell>
          <cell r="E93">
            <v>0.58333333333333337</v>
          </cell>
          <cell r="F93">
            <v>8.3333333333333329E-2</v>
          </cell>
          <cell r="G93">
            <v>0</v>
          </cell>
          <cell r="H93">
            <v>0.33333333333333331</v>
          </cell>
          <cell r="I93">
            <v>0</v>
          </cell>
          <cell r="J93">
            <v>0</v>
          </cell>
        </row>
        <row r="94">
          <cell r="A94">
            <v>91</v>
          </cell>
          <cell r="B94" t="str">
            <v>ABMU</v>
          </cell>
          <cell r="C94" t="str">
            <v>East Cardiology - moved to cardiology</v>
          </cell>
          <cell r="D94">
            <v>8.0028320202418703E-3</v>
          </cell>
          <cell r="E94">
            <v>0.50294144731419532</v>
          </cell>
          <cell r="F94">
            <v>5.9447619880108526E-3</v>
          </cell>
          <cell r="G94">
            <v>2.6449773887939829E-3</v>
          </cell>
          <cell r="H94">
            <v>0.43807143556225803</v>
          </cell>
          <cell r="I94">
            <v>3.2633462364707849E-2</v>
          </cell>
          <cell r="J94">
            <v>9.7610833617921278E-3</v>
          </cell>
        </row>
        <row r="95">
          <cell r="A95">
            <v>92</v>
          </cell>
          <cell r="B95" t="str">
            <v>ABMU</v>
          </cell>
          <cell r="C95" t="str">
            <v>Medium Secure Mental Health - East Forensics</v>
          </cell>
          <cell r="D95">
            <v>0.15833972681951514</v>
          </cell>
          <cell r="E95">
            <v>0.36032857307509231</v>
          </cell>
          <cell r="F95">
            <v>0.17560213951047574</v>
          </cell>
          <cell r="G95">
            <v>0.18236307176761873</v>
          </cell>
          <cell r="H95">
            <v>4.5452739637152094E-2</v>
          </cell>
          <cell r="I95">
            <v>7.791374919014582E-2</v>
          </cell>
          <cell r="J95">
            <v>0</v>
          </cell>
        </row>
        <row r="96">
          <cell r="A96">
            <v>93</v>
          </cell>
          <cell r="B96" t="str">
            <v>ABMU</v>
          </cell>
          <cell r="C96" t="str">
            <v>Mental Health Academic Fee</v>
          </cell>
          <cell r="D96">
            <v>0.15364921170439022</v>
          </cell>
          <cell r="E96">
            <v>0.1676810636014375</v>
          </cell>
          <cell r="F96">
            <v>9.6708619523298456E-2</v>
          </cell>
          <cell r="G96">
            <v>0.18684541390895734</v>
          </cell>
          <cell r="H96">
            <v>0.12489235056357795</v>
          </cell>
          <cell r="I96">
            <v>4.392197028725521E-2</v>
          </cell>
          <cell r="J96">
            <v>0.22630137041108331</v>
          </cell>
        </row>
        <row r="97">
          <cell r="A97">
            <v>94</v>
          </cell>
          <cell r="B97" t="str">
            <v>ABMU</v>
          </cell>
          <cell r="C97" t="str">
            <v>SMTL</v>
          </cell>
          <cell r="D97">
            <v>0.1538958939540899</v>
          </cell>
          <cell r="E97">
            <v>0.17006142903330101</v>
          </cell>
          <cell r="F97">
            <v>9.6993210475266725E-2</v>
          </cell>
          <cell r="G97">
            <v>0.18784351762043325</v>
          </cell>
          <cell r="H97">
            <v>0.12350468800517296</v>
          </cell>
          <cell r="I97">
            <v>4.3970255415454254E-2</v>
          </cell>
          <cell r="J97">
            <v>0.22373100549628192</v>
          </cell>
        </row>
        <row r="98">
          <cell r="A98">
            <v>95</v>
          </cell>
          <cell r="B98" t="str">
            <v>ABMU</v>
          </cell>
          <cell r="C98" t="str">
            <v>Residual Capital Charge</v>
          </cell>
          <cell r="D98">
            <v>0</v>
          </cell>
          <cell r="E98">
            <v>1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</row>
        <row r="99">
          <cell r="A99">
            <v>96</v>
          </cell>
          <cell r="B99" t="str">
            <v>ABMU</v>
          </cell>
          <cell r="C99" t="str">
            <v>Bariatrics</v>
          </cell>
          <cell r="D99">
            <v>0.2159286191371507</v>
          </cell>
          <cell r="E99">
            <v>0.28917419708565512</v>
          </cell>
          <cell r="F99">
            <v>4.4826457540724625E-2</v>
          </cell>
          <cell r="G99">
            <v>0.15269286058434206</v>
          </cell>
          <cell r="H99">
            <v>0.27296267300262606</v>
          </cell>
          <cell r="I99">
            <v>2.4415192649501469E-2</v>
          </cell>
          <cell r="J99">
            <v>0</v>
          </cell>
        </row>
        <row r="100">
          <cell r="A100">
            <v>97</v>
          </cell>
          <cell r="B100" t="str">
            <v>ABMU</v>
          </cell>
          <cell r="C100" t="str">
            <v>Bariatrics Stage 1</v>
          </cell>
          <cell r="D100">
            <v>0.2159286191371507</v>
          </cell>
          <cell r="E100">
            <v>0.28917419708565512</v>
          </cell>
          <cell r="F100">
            <v>4.4826457540724625E-2</v>
          </cell>
          <cell r="G100">
            <v>0.15269286058434206</v>
          </cell>
          <cell r="H100">
            <v>0.27296267300262606</v>
          </cell>
          <cell r="I100">
            <v>2.4415192649501469E-2</v>
          </cell>
          <cell r="J100">
            <v>0</v>
          </cell>
        </row>
        <row r="101">
          <cell r="A101">
            <v>98</v>
          </cell>
          <cell r="B101" t="str">
            <v>ABMU</v>
          </cell>
          <cell r="C101" t="str">
            <v>Sarcoma</v>
          </cell>
          <cell r="D101">
            <v>0.13617886178861788</v>
          </cell>
          <cell r="E101">
            <v>0.27540650406504064</v>
          </cell>
          <cell r="F101">
            <v>0.12703252032520326</v>
          </cell>
          <cell r="G101">
            <v>0.25609756097560976</v>
          </cell>
          <cell r="H101">
            <v>0.17682926829268292</v>
          </cell>
          <cell r="I101">
            <v>2.8455284552845527E-2</v>
          </cell>
          <cell r="J101">
            <v>0</v>
          </cell>
        </row>
        <row r="102">
          <cell r="A102">
            <v>99</v>
          </cell>
          <cell r="B102" t="str">
            <v>ABMU</v>
          </cell>
          <cell r="C102" t="str">
            <v>Sentinel Node Biopsy</v>
          </cell>
          <cell r="D102">
            <v>0.20459924531112836</v>
          </cell>
          <cell r="E102">
            <v>0.22434215911349825</v>
          </cell>
          <cell r="F102">
            <v>0.12698486941058826</v>
          </cell>
          <cell r="G102">
            <v>0.2497818348909131</v>
          </cell>
          <cell r="H102">
            <v>0.16549712844912001</v>
          </cell>
          <cell r="I102">
            <v>2.8794762824752029E-2</v>
          </cell>
          <cell r="J102">
            <v>0</v>
          </cell>
        </row>
        <row r="103">
          <cell r="A103">
            <v>100</v>
          </cell>
          <cell r="B103" t="str">
            <v>ABMU</v>
          </cell>
          <cell r="C103" t="str">
            <v>Paediatric Oncology</v>
          </cell>
          <cell r="D103">
            <v>0</v>
          </cell>
          <cell r="E103">
            <v>1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</row>
        <row r="104">
          <cell r="A104">
            <v>101</v>
          </cell>
          <cell r="B104" t="str">
            <v>ABMU</v>
          </cell>
          <cell r="C104" t="str">
            <v>EMRTS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1</v>
          </cell>
        </row>
        <row r="105">
          <cell r="A105">
            <v>102</v>
          </cell>
          <cell r="B105" t="str">
            <v>BCU</v>
          </cell>
          <cell r="C105" t="str">
            <v>ALAS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1</v>
          </cell>
        </row>
        <row r="106">
          <cell r="A106">
            <v>103</v>
          </cell>
          <cell r="B106" t="str">
            <v>BCU</v>
          </cell>
          <cell r="C106" t="str">
            <v>BAHA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1</v>
          </cell>
        </row>
        <row r="107">
          <cell r="A107">
            <v>104</v>
          </cell>
          <cell r="B107" t="str">
            <v>BCU</v>
          </cell>
          <cell r="C107" t="str">
            <v>Cervical screening capital charge adjustment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1</v>
          </cell>
        </row>
        <row r="108">
          <cell r="A108">
            <v>105</v>
          </cell>
          <cell r="B108" t="str">
            <v>BCU</v>
          </cell>
          <cell r="C108" t="str">
            <v>Renal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1</v>
          </cell>
        </row>
        <row r="109">
          <cell r="A109">
            <v>106</v>
          </cell>
          <cell r="B109" t="str">
            <v>BCU</v>
          </cell>
          <cell r="C109" t="str">
            <v>BMT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1</v>
          </cell>
        </row>
        <row r="110">
          <cell r="A110">
            <v>107</v>
          </cell>
          <cell r="B110" t="str">
            <v>BCU</v>
          </cell>
          <cell r="C110" t="str">
            <v>Angioplasty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1</v>
          </cell>
        </row>
        <row r="111">
          <cell r="A111">
            <v>108</v>
          </cell>
          <cell r="B111" t="str">
            <v>BCU</v>
          </cell>
          <cell r="C111" t="str">
            <v>ACHD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1</v>
          </cell>
        </row>
        <row r="112">
          <cell r="A112">
            <v>109</v>
          </cell>
          <cell r="B112" t="str">
            <v>BCU</v>
          </cell>
          <cell r="C112" t="str">
            <v>ICD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1</v>
          </cell>
        </row>
        <row r="113">
          <cell r="A113">
            <v>110</v>
          </cell>
          <cell r="B113" t="str">
            <v>BCU</v>
          </cell>
          <cell r="C113" t="str">
            <v>Medical Genetics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1</v>
          </cell>
        </row>
        <row r="114">
          <cell r="A114">
            <v>111</v>
          </cell>
          <cell r="B114" t="str">
            <v>BCU</v>
          </cell>
          <cell r="C114" t="str">
            <v>NICU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1</v>
          </cell>
        </row>
        <row r="115">
          <cell r="A115">
            <v>112</v>
          </cell>
          <cell r="B115" t="str">
            <v>BCU</v>
          </cell>
          <cell r="C115" t="str">
            <v>CAMHS - Inpatient unit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1</v>
          </cell>
        </row>
        <row r="116">
          <cell r="A116">
            <v>113</v>
          </cell>
          <cell r="B116" t="str">
            <v>BCU</v>
          </cell>
          <cell r="C116" t="str">
            <v>CAMHS - CITT team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1</v>
          </cell>
        </row>
        <row r="117">
          <cell r="A117">
            <v>114</v>
          </cell>
          <cell r="B117" t="str">
            <v>BCU</v>
          </cell>
          <cell r="C117" t="str">
            <v>Cochlear Implants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1</v>
          </cell>
        </row>
        <row r="118">
          <cell r="A118">
            <v>115</v>
          </cell>
          <cell r="B118" t="str">
            <v>BCU</v>
          </cell>
          <cell r="C118" t="str">
            <v>Haemophilia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1</v>
          </cell>
        </row>
        <row r="119">
          <cell r="A119">
            <v>116</v>
          </cell>
          <cell r="B119" t="str">
            <v>BCU</v>
          </cell>
          <cell r="C119" t="str">
            <v>Sarcoma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1</v>
          </cell>
        </row>
        <row r="120">
          <cell r="A120">
            <v>117</v>
          </cell>
          <cell r="B120" t="str">
            <v>BCU</v>
          </cell>
          <cell r="C120" t="str">
            <v>Medium Secure Mental Health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1</v>
          </cell>
        </row>
        <row r="121">
          <cell r="A121">
            <v>118</v>
          </cell>
          <cell r="B121" t="str">
            <v>BCU</v>
          </cell>
          <cell r="C121" t="str">
            <v>PET Scan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1</v>
          </cell>
        </row>
        <row r="122">
          <cell r="A122">
            <v>119</v>
          </cell>
          <cell r="B122" t="str">
            <v>Cwm Taf</v>
          </cell>
          <cell r="C122" t="str">
            <v>NICU</v>
          </cell>
          <cell r="D122">
            <v>0.24706</v>
          </cell>
          <cell r="E122">
            <v>1.5689999999999999E-2</v>
          </cell>
          <cell r="F122">
            <v>0.72157000000000004</v>
          </cell>
          <cell r="G122">
            <v>1.5689999999999999E-2</v>
          </cell>
          <cell r="H122">
            <v>0</v>
          </cell>
          <cell r="I122">
            <v>0</v>
          </cell>
          <cell r="J122">
            <v>0</v>
          </cell>
        </row>
        <row r="123">
          <cell r="A123">
            <v>120</v>
          </cell>
          <cell r="B123" t="str">
            <v>Cwm Taf</v>
          </cell>
          <cell r="C123" t="str">
            <v>Neonatal HDU</v>
          </cell>
          <cell r="D123">
            <v>0.12825680411060877</v>
          </cell>
          <cell r="E123">
            <v>0.1788042195471794</v>
          </cell>
          <cell r="F123">
            <v>0.12885596528496468</v>
          </cell>
          <cell r="G123">
            <v>0.2392196379613995</v>
          </cell>
          <cell r="H123">
            <v>0.12751239174246964</v>
          </cell>
          <cell r="I123">
            <v>1.7629863645441834E-2</v>
          </cell>
          <cell r="J123">
            <v>0.17972111770793617</v>
          </cell>
        </row>
        <row r="124">
          <cell r="A124">
            <v>121</v>
          </cell>
          <cell r="B124" t="str">
            <v>Cwm Taf</v>
          </cell>
          <cell r="C124" t="str">
            <v>CAMHS T4</v>
          </cell>
          <cell r="D124">
            <v>0.24504600475921079</v>
          </cell>
          <cell r="E124">
            <v>0</v>
          </cell>
          <cell r="F124">
            <v>0.2506570835096994</v>
          </cell>
          <cell r="G124">
            <v>0.29622758732087218</v>
          </cell>
          <cell r="H124">
            <v>0.15052612425576212</v>
          </cell>
          <cell r="I124">
            <v>5.7543200154455527E-2</v>
          </cell>
          <cell r="J124">
            <v>0</v>
          </cell>
        </row>
        <row r="125">
          <cell r="A125">
            <v>122</v>
          </cell>
          <cell r="B125" t="str">
            <v>Cwm Taf</v>
          </cell>
          <cell r="C125" t="str">
            <v>CITT</v>
          </cell>
          <cell r="D125">
            <v>1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</row>
        <row r="126">
          <cell r="A126">
            <v>123</v>
          </cell>
          <cell r="B126" t="str">
            <v>Cwm Taf</v>
          </cell>
          <cell r="C126" t="str">
            <v>FACTS</v>
          </cell>
          <cell r="D126">
            <v>0.26923076923076922</v>
          </cell>
          <cell r="E126">
            <v>0.26923076923076922</v>
          </cell>
          <cell r="F126">
            <v>7.6923076923076927E-2</v>
          </cell>
          <cell r="G126">
            <v>3.8461538461538464E-2</v>
          </cell>
          <cell r="H126">
            <v>3.8461538461538464E-2</v>
          </cell>
          <cell r="I126">
            <v>1.9230769230769232E-2</v>
          </cell>
          <cell r="J126">
            <v>0.28846153846153844</v>
          </cell>
        </row>
        <row r="127">
          <cell r="A127">
            <v>124</v>
          </cell>
          <cell r="B127" t="str">
            <v>Cwm Taf</v>
          </cell>
          <cell r="C127" t="str">
            <v>SCEP</v>
          </cell>
          <cell r="D127">
            <v>0.41636186101898792</v>
          </cell>
          <cell r="E127">
            <v>9.4851359440480842E-2</v>
          </cell>
          <cell r="F127">
            <v>0.27972025290880415</v>
          </cell>
          <cell r="G127">
            <v>0.11043970194198571</v>
          </cell>
          <cell r="H127">
            <v>7.2836364788955749E-2</v>
          </cell>
          <cell r="I127">
            <v>2.5790459900785493E-2</v>
          </cell>
          <cell r="J127">
            <v>0</v>
          </cell>
        </row>
        <row r="128">
          <cell r="A128">
            <v>125</v>
          </cell>
          <cell r="B128" t="str">
            <v>Cwm Taf</v>
          </cell>
          <cell r="C128" t="str">
            <v>ICD</v>
          </cell>
          <cell r="D128">
            <v>0</v>
          </cell>
          <cell r="E128">
            <v>0</v>
          </cell>
          <cell r="F128">
            <v>1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A129">
            <v>126</v>
          </cell>
          <cell r="B129" t="str">
            <v>Cwm Taf</v>
          </cell>
          <cell r="C129" t="str">
            <v>Aggregate CT</v>
          </cell>
          <cell r="D129">
            <v>0.32942220558851093</v>
          </cell>
          <cell r="E129">
            <v>7.9796621174061361E-2</v>
          </cell>
          <cell r="F129">
            <v>0.35110376837522078</v>
          </cell>
          <cell r="G129">
            <v>0.10000549509797084</v>
          </cell>
          <cell r="H129">
            <v>5.5619488464103709E-2</v>
          </cell>
          <cell r="I129">
            <v>1.7170613275921724E-2</v>
          </cell>
          <cell r="J129">
            <v>6.6883236595639231E-2</v>
          </cell>
        </row>
        <row r="130">
          <cell r="A130">
            <v>127</v>
          </cell>
          <cell r="B130" t="str">
            <v>Anuerin Bevan</v>
          </cell>
          <cell r="C130" t="str">
            <v>Angiography</v>
          </cell>
          <cell r="D130">
            <v>3.8E-3</v>
          </cell>
          <cell r="E130">
            <v>1.9E-3</v>
          </cell>
          <cell r="F130">
            <v>0</v>
          </cell>
          <cell r="G130">
            <v>0.94950000000000001</v>
          </cell>
          <cell r="H130">
            <v>5.9999999999999995E-4</v>
          </cell>
          <cell r="I130">
            <v>4.4200000000000003E-2</v>
          </cell>
          <cell r="J130">
            <v>0</v>
          </cell>
        </row>
        <row r="131">
          <cell r="A131">
            <v>128</v>
          </cell>
          <cell r="B131" t="str">
            <v>Anuerin Bevan</v>
          </cell>
          <cell r="C131" t="str">
            <v>Cardiology</v>
          </cell>
          <cell r="D131">
            <v>6.3E-3</v>
          </cell>
          <cell r="E131">
            <v>2.0999999999999999E-3</v>
          </cell>
          <cell r="F131">
            <v>0</v>
          </cell>
          <cell r="G131">
            <v>0.96650000000000003</v>
          </cell>
          <cell r="H131">
            <v>0</v>
          </cell>
          <cell r="I131">
            <v>2.5100000000000001E-2</v>
          </cell>
          <cell r="J131">
            <v>0</v>
          </cell>
        </row>
        <row r="132">
          <cell r="A132">
            <v>129</v>
          </cell>
          <cell r="B132" t="str">
            <v>Anuerin Bevan</v>
          </cell>
          <cell r="C132" t="str">
            <v>NICU</v>
          </cell>
          <cell r="D132">
            <v>0</v>
          </cell>
          <cell r="E132">
            <v>0</v>
          </cell>
          <cell r="F132">
            <v>0</v>
          </cell>
          <cell r="G132">
            <v>1</v>
          </cell>
          <cell r="H132">
            <v>0</v>
          </cell>
          <cell r="I132">
            <v>0</v>
          </cell>
          <cell r="J132">
            <v>0</v>
          </cell>
        </row>
        <row r="133">
          <cell r="A133">
            <v>130</v>
          </cell>
          <cell r="B133" t="str">
            <v>Anuerin Bevan</v>
          </cell>
          <cell r="C133" t="str">
            <v>RF ablation</v>
          </cell>
          <cell r="D133">
            <v>0.2</v>
          </cell>
          <cell r="E133">
            <v>6.6699999999999995E-2</v>
          </cell>
          <cell r="F133">
            <v>0.2</v>
          </cell>
          <cell r="G133">
            <v>0.46660000000000001</v>
          </cell>
          <cell r="H133">
            <v>6.6699999999999995E-2</v>
          </cell>
          <cell r="I133">
            <v>0</v>
          </cell>
          <cell r="J133">
            <v>0</v>
          </cell>
        </row>
        <row r="134">
          <cell r="A134">
            <v>131</v>
          </cell>
          <cell r="B134" t="str">
            <v>Anuerin Bevan</v>
          </cell>
          <cell r="C134" t="str">
            <v>Aggregate AB</v>
          </cell>
          <cell r="D134">
            <v>4.2020000000000002E-2</v>
          </cell>
          <cell r="E134">
            <v>1.414E-2</v>
          </cell>
          <cell r="F134">
            <v>0.04</v>
          </cell>
          <cell r="G134">
            <v>0.67652000000000001</v>
          </cell>
          <cell r="H134">
            <v>1.346E-2</v>
          </cell>
          <cell r="I134">
            <v>1.3860000000000001E-2</v>
          </cell>
          <cell r="J134">
            <v>0</v>
          </cell>
        </row>
        <row r="135">
          <cell r="A135">
            <v>132</v>
          </cell>
          <cell r="B135" t="str">
            <v>Hywel Dda Health Board Provider</v>
          </cell>
          <cell r="C135" t="str">
            <v>NICU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1</v>
          </cell>
          <cell r="I135">
            <v>0</v>
          </cell>
          <cell r="J135">
            <v>0</v>
          </cell>
        </row>
        <row r="136">
          <cell r="A136">
            <v>133</v>
          </cell>
          <cell r="B136" t="str">
            <v>Hywel Dda Health Board Provider</v>
          </cell>
          <cell r="C136" t="str">
            <v>Cervical Screening Capital Charges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1</v>
          </cell>
          <cell r="I136">
            <v>0</v>
          </cell>
          <cell r="J136">
            <v>0</v>
          </cell>
        </row>
        <row r="137">
          <cell r="A137">
            <v>134</v>
          </cell>
          <cell r="B137" t="str">
            <v>Hywel Dda Health Board Provider</v>
          </cell>
          <cell r="C137" t="str">
            <v>Aggregate HD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1</v>
          </cell>
          <cell r="I137">
            <v>0</v>
          </cell>
          <cell r="J137">
            <v>0</v>
          </cell>
        </row>
        <row r="138">
          <cell r="A138">
            <v>135</v>
          </cell>
          <cell r="B138" t="str">
            <v>Velindre</v>
          </cell>
          <cell r="C138" t="str">
            <v>Welsh Blood Service</v>
          </cell>
          <cell r="D138">
            <v>0.1938</v>
          </cell>
          <cell r="E138">
            <v>0.2157</v>
          </cell>
          <cell r="F138">
            <v>0.12540000000000001</v>
          </cell>
          <cell r="G138">
            <v>0.24360000000000001</v>
          </cell>
          <cell r="H138">
            <v>0.1638</v>
          </cell>
          <cell r="I138">
            <v>5.7700000000000001E-2</v>
          </cell>
          <cell r="J138">
            <v>0</v>
          </cell>
        </row>
        <row r="139">
          <cell r="A139">
            <v>136</v>
          </cell>
          <cell r="B139" t="str">
            <v>Velindre</v>
          </cell>
          <cell r="C139" t="str">
            <v>Cancer Services (Main LTA)</v>
          </cell>
          <cell r="D139">
            <v>0.28689999999999999</v>
          </cell>
          <cell r="E139">
            <v>9.8599999999999993E-2</v>
          </cell>
          <cell r="F139">
            <v>0.1855</v>
          </cell>
          <cell r="G139">
            <v>0.39250000000000002</v>
          </cell>
          <cell r="H139">
            <v>1.5100000000000001E-2</v>
          </cell>
          <cell r="I139">
            <v>2.1399999999999999E-2</v>
          </cell>
          <cell r="J139">
            <v>0</v>
          </cell>
        </row>
        <row r="140">
          <cell r="A140">
            <v>137</v>
          </cell>
          <cell r="B140" t="str">
            <v>Velindre</v>
          </cell>
          <cell r="C140" t="str">
            <v>SRS/SBRT/Cerebral Mets &amp; IGBT</v>
          </cell>
          <cell r="D140">
            <v>0.28689999999999999</v>
          </cell>
          <cell r="E140">
            <v>9.8599999999999993E-2</v>
          </cell>
          <cell r="F140">
            <v>0.1855</v>
          </cell>
          <cell r="G140">
            <v>0.39250000000000002</v>
          </cell>
          <cell r="H140">
            <v>1.5100000000000001E-2</v>
          </cell>
          <cell r="I140">
            <v>2.1399999999999999E-2</v>
          </cell>
          <cell r="J140">
            <v>0</v>
          </cell>
        </row>
        <row r="141">
          <cell r="A141">
            <v>138</v>
          </cell>
          <cell r="B141" t="str">
            <v>Velindre</v>
          </cell>
          <cell r="C141" t="str">
            <v>Melanoma Pathway Drugs</v>
          </cell>
          <cell r="D141">
            <v>0.42827483153746942</v>
          </cell>
          <cell r="E141">
            <v>2.4948007351092243E-2</v>
          </cell>
          <cell r="F141">
            <v>0.18503140719246045</v>
          </cell>
          <cell r="G141">
            <v>0.34510999999999997</v>
          </cell>
          <cell r="H141">
            <v>0</v>
          </cell>
          <cell r="I141">
            <v>1.66E-2</v>
          </cell>
          <cell r="J141">
            <v>0</v>
          </cell>
        </row>
        <row r="142">
          <cell r="A142">
            <v>139</v>
          </cell>
          <cell r="B142" t="str">
            <v>Velindre</v>
          </cell>
          <cell r="C142" t="str">
            <v>Other NICE cancer drugs</v>
          </cell>
          <cell r="D142">
            <v>0.28689999999999999</v>
          </cell>
          <cell r="E142">
            <v>9.8599999999999993E-2</v>
          </cell>
          <cell r="F142">
            <v>0.1855</v>
          </cell>
          <cell r="G142">
            <v>0.39250000000000002</v>
          </cell>
          <cell r="H142">
            <v>1.5100000000000001E-2</v>
          </cell>
          <cell r="I142">
            <v>2.1399999999999999E-2</v>
          </cell>
          <cell r="J142">
            <v>0</v>
          </cell>
        </row>
        <row r="143">
          <cell r="A143">
            <v>140</v>
          </cell>
          <cell r="B143" t="str">
            <v>Velindre</v>
          </cell>
          <cell r="C143" t="str">
            <v>Brachytherapy- Saving Scheme</v>
          </cell>
          <cell r="D143">
            <v>0.1938</v>
          </cell>
          <cell r="E143">
            <v>0.2157</v>
          </cell>
          <cell r="F143">
            <v>0.12540000000000001</v>
          </cell>
          <cell r="G143">
            <v>0.24360000000000001</v>
          </cell>
          <cell r="H143">
            <v>0.1638</v>
          </cell>
          <cell r="I143">
            <v>5.7700000000000001E-2</v>
          </cell>
          <cell r="J143">
            <v>0</v>
          </cell>
        </row>
        <row r="144">
          <cell r="A144">
            <v>141</v>
          </cell>
          <cell r="B144" t="str">
            <v>Velindre</v>
          </cell>
          <cell r="C144" t="str">
            <v>Aggregate Velindre</v>
          </cell>
          <cell r="D144">
            <v>0.27942913858957824</v>
          </cell>
          <cell r="E144">
            <v>0.12535800122518206</v>
          </cell>
          <cell r="F144">
            <v>0.16538856786541009</v>
          </cell>
          <cell r="G144">
            <v>0.33496833333333331</v>
          </cell>
          <cell r="H144">
            <v>6.2150000000000004E-2</v>
          </cell>
          <cell r="I144">
            <v>3.27E-2</v>
          </cell>
          <cell r="J144">
            <v>0</v>
          </cell>
        </row>
        <row r="145">
          <cell r="A145">
            <v>142</v>
          </cell>
          <cell r="B145" t="str">
            <v>WAST</v>
          </cell>
          <cell r="C145" t="str">
            <v>Emergency Services - Revenue</v>
          </cell>
          <cell r="D145">
            <v>0.12126793234242933</v>
          </cell>
          <cell r="E145">
            <v>0.14198532559459218</v>
          </cell>
          <cell r="F145">
            <v>9.1968899021374451E-2</v>
          </cell>
          <cell r="G145">
            <v>0.16912401565004431</v>
          </cell>
          <cell r="H145">
            <v>0.13899867591864368</v>
          </cell>
          <cell r="I145">
            <v>7.5542325803657648E-2</v>
          </cell>
          <cell r="J145">
            <v>0.26111282566925842</v>
          </cell>
        </row>
        <row r="146">
          <cell r="A146">
            <v>143</v>
          </cell>
          <cell r="B146" t="str">
            <v>WAST</v>
          </cell>
          <cell r="C146" t="str">
            <v>Emergency Services - Capital Charges</v>
          </cell>
          <cell r="D146">
            <v>0.12126793234242933</v>
          </cell>
          <cell r="E146">
            <v>0.14198532559459218</v>
          </cell>
          <cell r="F146">
            <v>9.1968899021374451E-2</v>
          </cell>
          <cell r="G146">
            <v>0.16912401565004431</v>
          </cell>
          <cell r="H146">
            <v>0.13899867591864368</v>
          </cell>
          <cell r="I146">
            <v>7.5542325803657648E-2</v>
          </cell>
          <cell r="J146">
            <v>0.26111282566925842</v>
          </cell>
        </row>
        <row r="147">
          <cell r="A147">
            <v>144</v>
          </cell>
          <cell r="B147" t="str">
            <v>WAST</v>
          </cell>
          <cell r="C147" t="str">
            <v>Neonatal Transport</v>
          </cell>
          <cell r="D147">
            <v>0.1938</v>
          </cell>
          <cell r="E147">
            <v>0.2157</v>
          </cell>
          <cell r="F147">
            <v>0.12540000000000001</v>
          </cell>
          <cell r="G147">
            <v>0.24360000000000001</v>
          </cell>
          <cell r="H147">
            <v>0.1638</v>
          </cell>
          <cell r="I147">
            <v>5.7700000000000001E-2</v>
          </cell>
          <cell r="J147">
            <v>0</v>
          </cell>
        </row>
        <row r="148">
          <cell r="A148">
            <v>145</v>
          </cell>
          <cell r="B148" t="str">
            <v>WAST</v>
          </cell>
          <cell r="C148" t="str">
            <v>Air Ambulance</v>
          </cell>
          <cell r="D148">
            <v>0.12126793234242933</v>
          </cell>
          <cell r="E148">
            <v>0.14198532559459218</v>
          </cell>
          <cell r="F148">
            <v>9.1968899021374451E-2</v>
          </cell>
          <cell r="G148">
            <v>0.16912401565004431</v>
          </cell>
          <cell r="H148">
            <v>0.13899867591864368</v>
          </cell>
          <cell r="I148">
            <v>7.5542325803657648E-2</v>
          </cell>
          <cell r="J148">
            <v>0.26111282566925842</v>
          </cell>
        </row>
        <row r="149">
          <cell r="A149">
            <v>146</v>
          </cell>
          <cell r="B149" t="str">
            <v>WAST</v>
          </cell>
          <cell r="C149" t="str">
            <v>ARRP (15/16 confirmed)</v>
          </cell>
          <cell r="D149">
            <v>0.12126793234242933</v>
          </cell>
          <cell r="E149">
            <v>0.14198532559459218</v>
          </cell>
          <cell r="F149">
            <v>9.1968899021374451E-2</v>
          </cell>
          <cell r="G149">
            <v>0.16912401565004431</v>
          </cell>
          <cell r="H149">
            <v>0.13899867591864368</v>
          </cell>
          <cell r="I149">
            <v>7.5542325803657648E-2</v>
          </cell>
          <cell r="J149">
            <v>0.26111282566925842</v>
          </cell>
        </row>
        <row r="150">
          <cell r="A150">
            <v>147</v>
          </cell>
          <cell r="B150" t="str">
            <v>WAST</v>
          </cell>
          <cell r="C150" t="str">
            <v>NHS Direct</v>
          </cell>
          <cell r="D150">
            <v>0.12126793234242933</v>
          </cell>
          <cell r="E150">
            <v>0.14198532559459218</v>
          </cell>
          <cell r="F150">
            <v>9.1968899021374451E-2</v>
          </cell>
          <cell r="G150">
            <v>0.16912401565004431</v>
          </cell>
          <cell r="H150">
            <v>0.13899867591864368</v>
          </cell>
          <cell r="I150">
            <v>7.5542325803657648E-2</v>
          </cell>
          <cell r="J150">
            <v>0.26111282566925842</v>
          </cell>
        </row>
        <row r="151">
          <cell r="A151">
            <v>148</v>
          </cell>
          <cell r="B151" t="str">
            <v>WAST</v>
          </cell>
          <cell r="C151" t="str">
            <v>NHS Direct- Saving Scheme</v>
          </cell>
          <cell r="D151">
            <v>0.12126793234242933</v>
          </cell>
          <cell r="E151">
            <v>0.14198532559459218</v>
          </cell>
          <cell r="F151">
            <v>9.1968899021374451E-2</v>
          </cell>
          <cell r="G151">
            <v>0.16912401565004431</v>
          </cell>
          <cell r="H151">
            <v>0.13899867591864368</v>
          </cell>
          <cell r="I151">
            <v>7.5542325803657648E-2</v>
          </cell>
          <cell r="J151">
            <v>0.26111282566925842</v>
          </cell>
        </row>
        <row r="152">
          <cell r="A152">
            <v>149</v>
          </cell>
          <cell r="B152" t="str">
            <v>WAST</v>
          </cell>
          <cell r="C152" t="str">
            <v>Renal</v>
          </cell>
          <cell r="D152">
            <v>0.12126793234242933</v>
          </cell>
          <cell r="E152">
            <v>0.14198532559459218</v>
          </cell>
          <cell r="F152">
            <v>9.1968899021374451E-2</v>
          </cell>
          <cell r="G152">
            <v>0.16912401565004431</v>
          </cell>
          <cell r="H152">
            <v>0.13899867591864368</v>
          </cell>
          <cell r="I152">
            <v>7.5542325803657648E-2</v>
          </cell>
          <cell r="J152">
            <v>0.26111282566925842</v>
          </cell>
        </row>
        <row r="153">
          <cell r="A153">
            <v>150</v>
          </cell>
          <cell r="B153" t="str">
            <v>WAST</v>
          </cell>
          <cell r="C153" t="str">
            <v>Allocation Letter Depreciation WAST Approved Strategic Adjustment</v>
          </cell>
          <cell r="D153">
            <v>0.12126793234242933</v>
          </cell>
          <cell r="E153">
            <v>0.14198532559459218</v>
          </cell>
          <cell r="F153">
            <v>9.1968899021374451E-2</v>
          </cell>
          <cell r="G153">
            <v>0.16912401565004431</v>
          </cell>
          <cell r="H153">
            <v>0.13899867591864368</v>
          </cell>
          <cell r="I153">
            <v>7.5542325803657648E-2</v>
          </cell>
          <cell r="J153">
            <v>0.26111282566925842</v>
          </cell>
        </row>
        <row r="154">
          <cell r="A154">
            <v>151</v>
          </cell>
          <cell r="B154" t="str">
            <v>WAST</v>
          </cell>
          <cell r="C154" t="str">
            <v>Ministerial Assistance non recurring</v>
          </cell>
          <cell r="D154">
            <v>0.12126793234242933</v>
          </cell>
          <cell r="E154">
            <v>0.14198532559459218</v>
          </cell>
          <cell r="F154">
            <v>9.1968899021374451E-2</v>
          </cell>
          <cell r="G154">
            <v>0.16912401565004431</v>
          </cell>
          <cell r="H154">
            <v>0.13899867591864368</v>
          </cell>
          <cell r="I154">
            <v>7.5542325803657648E-2</v>
          </cell>
          <cell r="J154">
            <v>0.26111282566925842</v>
          </cell>
        </row>
        <row r="155">
          <cell r="A155">
            <v>152</v>
          </cell>
          <cell r="B155" t="str">
            <v>WAST</v>
          </cell>
          <cell r="C155" t="str">
            <v>VER re-payment</v>
          </cell>
          <cell r="D155">
            <v>0.12126793234242933</v>
          </cell>
          <cell r="E155">
            <v>0.14198532559459218</v>
          </cell>
          <cell r="F155">
            <v>9.1968899021374451E-2</v>
          </cell>
          <cell r="G155">
            <v>0.16912401565004431</v>
          </cell>
          <cell r="H155">
            <v>0.13899867591864368</v>
          </cell>
          <cell r="I155">
            <v>7.5542325803657648E-2</v>
          </cell>
          <cell r="J155">
            <v>0.26111282566925842</v>
          </cell>
        </row>
        <row r="156">
          <cell r="A156">
            <v>153</v>
          </cell>
          <cell r="B156" t="str">
            <v>WAST</v>
          </cell>
          <cell r="C156" t="str">
            <v>Aggregate WAST</v>
          </cell>
          <cell r="D156">
            <v>0.11720661028535774</v>
          </cell>
          <cell r="E156">
            <v>0.13629610466216016</v>
          </cell>
          <cell r="F156">
            <v>8.7090749184478733E-2</v>
          </cell>
          <cell r="G156">
            <v>0.1612366797083703</v>
          </cell>
          <cell r="H156">
            <v>0.12948222993220307</v>
          </cell>
          <cell r="I156">
            <v>6.7760271503048031E-2</v>
          </cell>
          <cell r="J156">
            <v>0.21759402139104875</v>
          </cell>
        </row>
        <row r="157">
          <cell r="A157">
            <v>154</v>
          </cell>
          <cell r="B157" t="str">
            <v>Non Welsh SLAs</v>
          </cell>
          <cell r="C157" t="str">
            <v>Alder Hey Children's NHS Foundation Trust</v>
          </cell>
          <cell r="D157">
            <v>1.8071932401147268E-3</v>
          </cell>
          <cell r="E157">
            <v>4.6926213290919944E-5</v>
          </cell>
          <cell r="F157">
            <v>0</v>
          </cell>
          <cell r="G157">
            <v>1.1872506926259405E-4</v>
          </cell>
          <cell r="H157">
            <v>1.6902989160180256E-3</v>
          </cell>
          <cell r="I157">
            <v>2.2017995186874365E-2</v>
          </cell>
          <cell r="J157">
            <v>0.97431886137443935</v>
          </cell>
        </row>
        <row r="158">
          <cell r="A158">
            <v>155</v>
          </cell>
          <cell r="B158" t="str">
            <v>Non Welsh SLAs</v>
          </cell>
          <cell r="C158" t="str">
            <v>Alder Hey Children's- Blood Factor Products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1</v>
          </cell>
        </row>
        <row r="159">
          <cell r="A159">
            <v>156</v>
          </cell>
          <cell r="B159" t="str">
            <v>Non Welsh SLAs</v>
          </cell>
          <cell r="C159" t="str">
            <v>Birmingham Children's Hospital NHS Foundation Trust</v>
          </cell>
          <cell r="D159">
            <v>0.187596454350762</v>
          </cell>
          <cell r="E159">
            <v>4.1614589126675594E-2</v>
          </cell>
          <cell r="F159">
            <v>1.6064109939889614E-2</v>
          </cell>
          <cell r="G159">
            <v>0.21938396574859892</v>
          </cell>
          <cell r="H159">
            <v>2.4432667589136821E-2</v>
          </cell>
          <cell r="I159">
            <v>0.43627813327819265</v>
          </cell>
          <cell r="J159">
            <v>7.4630079966744464E-2</v>
          </cell>
        </row>
        <row r="160">
          <cell r="A160">
            <v>157</v>
          </cell>
          <cell r="B160" t="str">
            <v>Non Welsh SLAs</v>
          </cell>
          <cell r="C160" t="str">
            <v>Birmingham Women's NHS Foundation Trust</v>
          </cell>
          <cell r="D160">
            <v>6.3469199833063317E-2</v>
          </cell>
          <cell r="E160">
            <v>8.7534188446786627E-3</v>
          </cell>
          <cell r="F160">
            <v>1.9797367367555559E-2</v>
          </cell>
          <cell r="G160">
            <v>7.4278224130636353E-2</v>
          </cell>
          <cell r="H160">
            <v>2.6867036529182826E-2</v>
          </cell>
          <cell r="I160">
            <v>0.65695060752814549</v>
          </cell>
          <cell r="J160">
            <v>0.14988414576673789</v>
          </cell>
        </row>
        <row r="161">
          <cell r="A161">
            <v>158</v>
          </cell>
          <cell r="B161" t="str">
            <v>Non Welsh SLAs</v>
          </cell>
          <cell r="C161" t="str">
            <v xml:space="preserve">Cambridge University Hospitals NHS Foundation Trust (Addenbrooke's) </v>
          </cell>
          <cell r="D161">
            <v>0.30277956717333337</v>
          </cell>
          <cell r="E161">
            <v>0.13391306678561835</v>
          </cell>
          <cell r="F161">
            <v>1.6340950191834964E-2</v>
          </cell>
          <cell r="G161">
            <v>3.3487646880560447E-2</v>
          </cell>
          <cell r="H161">
            <v>8.9875692936467938E-2</v>
          </cell>
          <cell r="I161">
            <v>0.11566801585725248</v>
          </cell>
          <cell r="J161">
            <v>0.30793506017493222</v>
          </cell>
        </row>
        <row r="162">
          <cell r="A162">
            <v>159</v>
          </cell>
          <cell r="B162" t="str">
            <v>Non Welsh SLAs</v>
          </cell>
          <cell r="C162" t="str">
            <v>Central Manchester University Hospitals NHS Foundation Trust</v>
          </cell>
          <cell r="D162">
            <v>9.2353450371700473E-3</v>
          </cell>
          <cell r="E162">
            <v>5.1141354580823702E-2</v>
          </cell>
          <cell r="F162">
            <v>1.0502531610633063E-3</v>
          </cell>
          <cell r="G162">
            <v>1.6175799420531819E-2</v>
          </cell>
          <cell r="H162">
            <v>2.4376443312308916E-2</v>
          </cell>
          <cell r="I162">
            <v>2.305793053644651E-2</v>
          </cell>
          <cell r="J162">
            <v>0.87496287395165584</v>
          </cell>
        </row>
        <row r="163">
          <cell r="A163">
            <v>160</v>
          </cell>
          <cell r="B163" t="str">
            <v>Non Welsh SLAs</v>
          </cell>
          <cell r="C163" t="str">
            <v>Christie NHS Foundation Trust</v>
          </cell>
          <cell r="D163">
            <v>3.8587838647777793E-4</v>
          </cell>
          <cell r="E163">
            <v>2.7348738258290007E-3</v>
          </cell>
          <cell r="F163">
            <v>1.2564114834951944E-3</v>
          </cell>
          <cell r="G163">
            <v>3.6063956008370424E-4</v>
          </cell>
          <cell r="H163">
            <v>1.1055338671072857E-2</v>
          </cell>
          <cell r="I163">
            <v>2.3347115500787167E-2</v>
          </cell>
          <cell r="J163">
            <v>0.96085974257225437</v>
          </cell>
        </row>
        <row r="164">
          <cell r="A164">
            <v>161</v>
          </cell>
          <cell r="B164" t="str">
            <v>Non Welsh SLAs</v>
          </cell>
          <cell r="C164" t="str">
            <v>DDRC</v>
          </cell>
          <cell r="D164">
            <v>0.30061434686234045</v>
          </cell>
          <cell r="E164">
            <v>0.11772911411755714</v>
          </cell>
          <cell r="F164">
            <v>0.29181475961170983</v>
          </cell>
          <cell r="G164">
            <v>0.28984177940839256</v>
          </cell>
          <cell r="H164">
            <v>0</v>
          </cell>
          <cell r="I164">
            <v>0</v>
          </cell>
          <cell r="J164">
            <v>0</v>
          </cell>
        </row>
        <row r="165">
          <cell r="A165">
            <v>162</v>
          </cell>
          <cell r="B165" t="str">
            <v>Non Welsh SLAs</v>
          </cell>
          <cell r="C165" t="str">
            <v>Great Ormond Street Hospital for Children NHS Foundation Trust</v>
          </cell>
          <cell r="D165">
            <v>0.17810088285488954</v>
          </cell>
          <cell r="E165">
            <v>0.21820621414165359</v>
          </cell>
          <cell r="F165">
            <v>5.5298569577614011E-2</v>
          </cell>
          <cell r="G165">
            <v>0.11821969340755774</v>
          </cell>
          <cell r="H165">
            <v>9.6938045817789753E-2</v>
          </cell>
          <cell r="I165">
            <v>1.7469334230758145E-2</v>
          </cell>
          <cell r="J165">
            <v>0.31576725996973698</v>
          </cell>
        </row>
        <row r="166">
          <cell r="A166">
            <v>163</v>
          </cell>
          <cell r="B166" t="str">
            <v>Non Welsh SLAs</v>
          </cell>
          <cell r="C166" t="str">
            <v>Guy's and St Thomas' NHS Foundation Trust</v>
          </cell>
          <cell r="D166">
            <v>0.21734960682065599</v>
          </cell>
          <cell r="E166">
            <v>0.12650620753190359</v>
          </cell>
          <cell r="F166">
            <v>0.20036318137174949</v>
          </cell>
          <cell r="G166">
            <v>9.2123353671930225E-2</v>
          </cell>
          <cell r="H166">
            <v>0.1238858948045397</v>
          </cell>
          <cell r="I166">
            <v>5.0503417790106787E-2</v>
          </cell>
          <cell r="J166">
            <v>0.18926833800911413</v>
          </cell>
        </row>
        <row r="167">
          <cell r="A167">
            <v>164</v>
          </cell>
          <cell r="B167" t="str">
            <v>Non Welsh SLAs</v>
          </cell>
          <cell r="C167" t="str">
            <v>Heart of England NHS Foundation Trust</v>
          </cell>
          <cell r="D167">
            <v>4.5968674649982146E-2</v>
          </cell>
          <cell r="E167">
            <v>6.3828615944109962E-2</v>
          </cell>
          <cell r="F167">
            <v>7.2934084045230291E-3</v>
          </cell>
          <cell r="G167">
            <v>3.300440601956485E-2</v>
          </cell>
          <cell r="H167">
            <v>7.9026085378963454E-2</v>
          </cell>
          <cell r="I167">
            <v>0.6338928567978066</v>
          </cell>
          <cell r="J167">
            <v>0.13698595280504988</v>
          </cell>
        </row>
        <row r="168">
          <cell r="A168">
            <v>165</v>
          </cell>
          <cell r="B168" t="str">
            <v>Non Welsh SLAs</v>
          </cell>
          <cell r="C168" t="str">
            <v>Imperial College Healthcare NHS Trust</v>
          </cell>
          <cell r="D168">
            <v>0.27504447379340441</v>
          </cell>
          <cell r="E168">
            <v>0.26137956016153069</v>
          </cell>
          <cell r="F168">
            <v>0.11316962642243389</v>
          </cell>
          <cell r="G168">
            <v>8.9390688533604004E-2</v>
          </cell>
          <cell r="H168">
            <v>0.1684728781049937</v>
          </cell>
          <cell r="I168">
            <v>4.5746773762974591E-2</v>
          </cell>
          <cell r="J168">
            <v>4.6795998797166692E-2</v>
          </cell>
        </row>
        <row r="169">
          <cell r="A169">
            <v>166</v>
          </cell>
          <cell r="B169" t="str">
            <v>Non Welsh SLAs</v>
          </cell>
          <cell r="C169" t="str">
            <v>King's College Hospital NHS Foundation Trust</v>
          </cell>
          <cell r="D169">
            <v>0.21984080200008507</v>
          </cell>
          <cell r="E169">
            <v>0.1933112363091285</v>
          </cell>
          <cell r="F169">
            <v>7.3643989555762776E-2</v>
          </cell>
          <cell r="G169">
            <v>5.9075797897938584E-2</v>
          </cell>
          <cell r="H169">
            <v>0.1988380053882369</v>
          </cell>
          <cell r="I169">
            <v>8.6013183040755822E-2</v>
          </cell>
          <cell r="J169">
            <v>0.16927698580809217</v>
          </cell>
        </row>
        <row r="170">
          <cell r="A170">
            <v>167</v>
          </cell>
          <cell r="B170" t="str">
            <v>Non Welsh SLAs</v>
          </cell>
          <cell r="C170" t="str">
            <v>Leeds Teaching Hospitals NHS Trust</v>
          </cell>
          <cell r="D170">
            <v>7.5121046996596302E-2</v>
          </cell>
          <cell r="E170">
            <v>0.10403250291631377</v>
          </cell>
          <cell r="F170">
            <v>2.0202464085396058E-2</v>
          </cell>
          <cell r="G170">
            <v>5.3224723948928555E-2</v>
          </cell>
          <cell r="H170">
            <v>6.6987328017385994E-2</v>
          </cell>
          <cell r="I170">
            <v>3.2035507119001584E-2</v>
          </cell>
          <cell r="J170">
            <v>0.64839642691637767</v>
          </cell>
        </row>
        <row r="171">
          <cell r="A171">
            <v>168</v>
          </cell>
          <cell r="B171" t="str">
            <v>Non Welsh SLAs</v>
          </cell>
          <cell r="C171" t="str">
            <v>Liverpool Heart and Chest Hospital NHS Foundation Trust</v>
          </cell>
          <cell r="D171">
            <v>1.1575615524909617E-5</v>
          </cell>
          <cell r="E171">
            <v>3.1477478133086283E-4</v>
          </cell>
          <cell r="F171">
            <v>0</v>
          </cell>
          <cell r="G171">
            <v>9.6228714445504189E-6</v>
          </cell>
          <cell r="H171">
            <v>1.245308190382394E-3</v>
          </cell>
          <cell r="I171">
            <v>2.9590391575302559E-3</v>
          </cell>
          <cell r="J171">
            <v>0.99545967938378699</v>
          </cell>
        </row>
        <row r="172">
          <cell r="A172">
            <v>169</v>
          </cell>
          <cell r="B172" t="str">
            <v>Non Welsh SLAs</v>
          </cell>
          <cell r="C172" t="str">
            <v>Newcastle Upon Tyne Hospitals NHS Foundation Trust</v>
          </cell>
          <cell r="D172">
            <v>0.27027027027027029</v>
          </cell>
          <cell r="E172">
            <v>0.24324324324324326</v>
          </cell>
          <cell r="F172">
            <v>8.1081081081081086E-2</v>
          </cell>
          <cell r="G172">
            <v>2.7027027027027029E-2</v>
          </cell>
          <cell r="H172">
            <v>5.4054054054054057E-2</v>
          </cell>
          <cell r="I172">
            <v>5.4054054054054057E-2</v>
          </cell>
          <cell r="J172">
            <v>0.27027027027027029</v>
          </cell>
        </row>
        <row r="173">
          <cell r="A173">
            <v>170</v>
          </cell>
          <cell r="B173" t="str">
            <v>Non Welsh SLAs</v>
          </cell>
          <cell r="C173" t="str">
            <v>Papworth Hospital NHS Foundation Trust</v>
          </cell>
          <cell r="D173">
            <v>0.16138958896625899</v>
          </cell>
          <cell r="E173">
            <v>0.15950951666563523</v>
          </cell>
          <cell r="F173">
            <v>5.1308261434616802E-2</v>
          </cell>
          <cell r="G173">
            <v>0.21742684043286478</v>
          </cell>
          <cell r="H173">
            <v>0.17944980676441905</v>
          </cell>
          <cell r="I173">
            <v>4.18481473498663E-3</v>
          </cell>
          <cell r="J173">
            <v>0.22673117100121853</v>
          </cell>
        </row>
        <row r="174">
          <cell r="A174">
            <v>171</v>
          </cell>
          <cell r="B174" t="str">
            <v>Non Welsh SLAs</v>
          </cell>
          <cell r="C174" t="str">
            <v>Robert Jones and Agnus Hunt Orthopaedic Hospital NHS Foundation Trust</v>
          </cell>
          <cell r="D174">
            <v>0</v>
          </cell>
          <cell r="E174">
            <v>2.2437626514626354E-3</v>
          </cell>
          <cell r="F174">
            <v>0</v>
          </cell>
          <cell r="G174">
            <v>4.8199345846234394E-4</v>
          </cell>
          <cell r="H174">
            <v>7.080594707905731E-2</v>
          </cell>
          <cell r="I174">
            <v>8.6775442987306814E-2</v>
          </cell>
          <cell r="J174">
            <v>0.83969285382371084</v>
          </cell>
        </row>
        <row r="175">
          <cell r="A175">
            <v>172</v>
          </cell>
          <cell r="B175" t="str">
            <v>Non Welsh SLAs</v>
          </cell>
          <cell r="C175" t="str">
            <v>Royal Brompton &amp; Harefield NHS Foundation Trust</v>
          </cell>
          <cell r="D175">
            <v>0.22524570995095827</v>
          </cell>
          <cell r="E175">
            <v>0.22413167101418013</v>
          </cell>
          <cell r="F175">
            <v>0.17966982804555237</v>
          </cell>
          <cell r="G175">
            <v>0.18682471015916183</v>
          </cell>
          <cell r="H175">
            <v>0.14811215632483088</v>
          </cell>
          <cell r="I175">
            <v>1.4378559295136246E-2</v>
          </cell>
          <cell r="J175">
            <v>2.1637365210180271E-2</v>
          </cell>
        </row>
        <row r="176">
          <cell r="A176">
            <v>173</v>
          </cell>
          <cell r="B176" t="str">
            <v>Non Welsh SLAs</v>
          </cell>
          <cell r="C176" t="str">
            <v>Royal Free London NHS Foundation Trust (Hampstead)</v>
          </cell>
          <cell r="D176">
            <v>4.6446140557381971E-2</v>
          </cell>
          <cell r="E176">
            <v>0.25907121861218024</v>
          </cell>
          <cell r="F176">
            <v>0.14792553735425237</v>
          </cell>
          <cell r="G176">
            <v>0.10157784919051463</v>
          </cell>
          <cell r="H176">
            <v>5.1555874181104536E-2</v>
          </cell>
          <cell r="I176">
            <v>2.1676932549775572E-2</v>
          </cell>
          <cell r="J176">
            <v>0.37174644755479064</v>
          </cell>
        </row>
        <row r="177">
          <cell r="A177">
            <v>174</v>
          </cell>
          <cell r="B177" t="str">
            <v>Non Welsh SLAs</v>
          </cell>
          <cell r="C177" t="str">
            <v>Royal Liverpool and Broadgreen University Hospitals NHS Trust</v>
          </cell>
          <cell r="D177">
            <v>0</v>
          </cell>
          <cell r="E177">
            <v>9.8020524461337605E-4</v>
          </cell>
          <cell r="F177">
            <v>1.8276099196229509E-4</v>
          </cell>
          <cell r="G177">
            <v>0</v>
          </cell>
          <cell r="H177">
            <v>0</v>
          </cell>
          <cell r="I177">
            <v>1.3653233382109263E-2</v>
          </cell>
          <cell r="J177">
            <v>0.98518380038131492</v>
          </cell>
        </row>
        <row r="178">
          <cell r="A178">
            <v>175</v>
          </cell>
          <cell r="B178" t="str">
            <v>Non Welsh SLAs</v>
          </cell>
          <cell r="C178" t="str">
            <v>Royal Liverpool and Broadgreen University Hospitals NHS Trust - Ocular Oncology</v>
          </cell>
          <cell r="D178">
            <v>2.3316389958649243E-2</v>
          </cell>
          <cell r="E178">
            <v>0.14072365596692959</v>
          </cell>
          <cell r="F178">
            <v>0.19058849002809924</v>
          </cell>
          <cell r="G178">
            <v>0.19867181704925338</v>
          </cell>
          <cell r="H178">
            <v>9.3072859724585927E-2</v>
          </cell>
          <cell r="I178">
            <v>6.8225340863497713E-2</v>
          </cell>
          <cell r="J178">
            <v>0.2854014464089849</v>
          </cell>
        </row>
        <row r="179">
          <cell r="A179">
            <v>176</v>
          </cell>
          <cell r="B179" t="str">
            <v>Non Welsh SLAs</v>
          </cell>
          <cell r="C179" t="str">
            <v>Royal Marsden NHS Foundation Trust</v>
          </cell>
          <cell r="D179">
            <v>0.11970698057142032</v>
          </cell>
          <cell r="E179">
            <v>0.37285119536340949</v>
          </cell>
          <cell r="F179">
            <v>9.6899556667516869E-3</v>
          </cell>
          <cell r="G179">
            <v>0.18182309781163741</v>
          </cell>
          <cell r="H179">
            <v>6.0970007988216265E-2</v>
          </cell>
          <cell r="I179">
            <v>1.2538104752883522E-2</v>
          </cell>
          <cell r="J179">
            <v>0.24242065784568123</v>
          </cell>
        </row>
        <row r="180">
          <cell r="A180">
            <v>177</v>
          </cell>
          <cell r="B180" t="str">
            <v>Non Welsh SLAs</v>
          </cell>
          <cell r="C180" t="str">
            <v>Royal Orthopaedic Hospital NHS Foundation Trust</v>
          </cell>
          <cell r="D180">
            <v>0.11177324201946408</v>
          </cell>
          <cell r="E180">
            <v>0.14645544638327662</v>
          </cell>
          <cell r="F180">
            <v>0.19097326374614454</v>
          </cell>
          <cell r="G180">
            <v>0.16753276236019671</v>
          </cell>
          <cell r="H180">
            <v>0.26684242730721197</v>
          </cell>
          <cell r="I180">
            <v>7.1047017593001138E-2</v>
          </cell>
          <cell r="J180">
            <v>4.5375840590705055E-2</v>
          </cell>
        </row>
        <row r="181">
          <cell r="A181">
            <v>178</v>
          </cell>
          <cell r="B181" t="str">
            <v>Non Welsh SLAs</v>
          </cell>
          <cell r="C181" t="str">
            <v>Salford Royal NHS Foundation Trust</v>
          </cell>
          <cell r="D181">
            <v>7.318906900821993E-4</v>
          </cell>
          <cell r="E181">
            <v>4.4686238485090301E-3</v>
          </cell>
          <cell r="F181">
            <v>0</v>
          </cell>
          <cell r="G181">
            <v>3.3812204713232646E-3</v>
          </cell>
          <cell r="H181">
            <v>2.6499003698755842E-2</v>
          </cell>
          <cell r="I181">
            <v>4.7414753347543796E-2</v>
          </cell>
          <cell r="J181">
            <v>0.91750450794378591</v>
          </cell>
        </row>
        <row r="182">
          <cell r="A182">
            <v>179</v>
          </cell>
          <cell r="B182" t="str">
            <v>Non Welsh SLAs</v>
          </cell>
          <cell r="C182" t="str">
            <v>Sheffield Teaching Hospitals NHS Foundation Trust</v>
          </cell>
          <cell r="D182">
            <v>5.857043610067262E-2</v>
          </cell>
          <cell r="E182">
            <v>0.1093356912032505</v>
          </cell>
          <cell r="F182">
            <v>6.1973031862822495E-3</v>
          </cell>
          <cell r="G182">
            <v>0.12787233818591381</v>
          </cell>
          <cell r="H182">
            <v>1.2205134682792813E-2</v>
          </cell>
          <cell r="I182">
            <v>5.8599383164387744E-2</v>
          </cell>
          <cell r="J182">
            <v>0.62721971347670025</v>
          </cell>
        </row>
        <row r="183">
          <cell r="A183">
            <v>180</v>
          </cell>
          <cell r="B183" t="str">
            <v>Non Welsh SLAs</v>
          </cell>
          <cell r="C183" t="str">
            <v>St Helen and Knowsley Teaching Hospitals NHS Trust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1</v>
          </cell>
        </row>
        <row r="184">
          <cell r="A184">
            <v>181</v>
          </cell>
          <cell r="B184" t="str">
            <v>Non Welsh SLAs</v>
          </cell>
          <cell r="C184" t="str">
            <v>University College London Hospitals NHS Foundation Trust</v>
          </cell>
          <cell r="D184">
            <v>0.10622499621508268</v>
          </cell>
          <cell r="E184">
            <v>0.2043133166309079</v>
          </cell>
          <cell r="F184">
            <v>5.8972432550778567E-2</v>
          </cell>
          <cell r="G184">
            <v>0.14740108280123271</v>
          </cell>
          <cell r="H184">
            <v>0.13795433783959102</v>
          </cell>
          <cell r="I184">
            <v>6.3805505023833739E-2</v>
          </cell>
          <cell r="J184">
            <v>0.28132832893857335</v>
          </cell>
        </row>
        <row r="185">
          <cell r="A185">
            <v>182</v>
          </cell>
          <cell r="B185" t="str">
            <v>Non Welsh SLAs</v>
          </cell>
          <cell r="C185" t="str">
            <v>University Hospital of South Manchester NHS Foundation Trust</v>
          </cell>
          <cell r="D185">
            <v>3.6592283618465504E-2</v>
          </cell>
          <cell r="E185">
            <v>2.0503843535733073E-2</v>
          </cell>
          <cell r="F185">
            <v>0</v>
          </cell>
          <cell r="G185">
            <v>6.2321637913843292E-2</v>
          </cell>
          <cell r="H185">
            <v>3.1682505853439499E-2</v>
          </cell>
          <cell r="I185">
            <v>1.2268512044099719E-2</v>
          </cell>
          <cell r="J185">
            <v>0.83663121703441901</v>
          </cell>
        </row>
        <row r="186">
          <cell r="A186">
            <v>183</v>
          </cell>
          <cell r="B186" t="str">
            <v>Non Welsh SLAs</v>
          </cell>
          <cell r="C186" t="str">
            <v>University Hospitals Birmingham NHS Foundation Trust</v>
          </cell>
          <cell r="D186">
            <v>8.3471107795930213E-2</v>
          </cell>
          <cell r="E186">
            <v>5.2344978847160717E-2</v>
          </cell>
          <cell r="F186">
            <v>6.7889886965838531E-2</v>
          </cell>
          <cell r="G186">
            <v>0.13210639345605346</v>
          </cell>
          <cell r="H186">
            <v>0.10404038653270932</v>
          </cell>
          <cell r="I186">
            <v>0.45160255658676574</v>
          </cell>
          <cell r="J186">
            <v>0.10854468981554206</v>
          </cell>
        </row>
        <row r="187">
          <cell r="A187">
            <v>184</v>
          </cell>
          <cell r="B187" t="str">
            <v>Non Welsh SLAs</v>
          </cell>
          <cell r="C187" t="str">
            <v>University Hospitals Birmingham NHS Foundation Trust - Transplant</v>
          </cell>
          <cell r="D187">
            <v>0.26535418548393092</v>
          </cell>
          <cell r="E187">
            <v>0.12420318164911619</v>
          </cell>
          <cell r="F187">
            <v>9.3977107483132316E-2</v>
          </cell>
          <cell r="G187">
            <v>0.39216429556008398</v>
          </cell>
          <cell r="H187">
            <v>6.8926862199007816E-2</v>
          </cell>
          <cell r="I187">
            <v>5.5374367624728901E-2</v>
          </cell>
          <cell r="J187">
            <v>0</v>
          </cell>
        </row>
        <row r="188">
          <cell r="A188">
            <v>185</v>
          </cell>
          <cell r="B188" t="str">
            <v>Non Welsh SLAs</v>
          </cell>
          <cell r="C188" t="str">
            <v>University Hospitals Bristol NHS Foundation Trust</v>
          </cell>
          <cell r="D188">
            <v>0.17975509814861299</v>
          </cell>
          <cell r="E188">
            <v>0.26255930265407401</v>
          </cell>
          <cell r="F188">
            <v>0.12386668668314739</v>
          </cell>
          <cell r="G188">
            <v>0.27698118693043505</v>
          </cell>
          <cell r="H188">
            <v>9.7677679251289909E-2</v>
          </cell>
          <cell r="I188">
            <v>2.2873919803093962E-2</v>
          </cell>
          <cell r="J188">
            <v>3.6286126529346791E-2</v>
          </cell>
        </row>
        <row r="189">
          <cell r="A189">
            <v>186</v>
          </cell>
          <cell r="B189" t="str">
            <v>Non Welsh SLAs</v>
          </cell>
          <cell r="C189" t="str">
            <v>University Hospitals of North Staffordshire NHS Trust</v>
          </cell>
          <cell r="D189">
            <v>4.7624466748625669E-3</v>
          </cell>
          <cell r="E189">
            <v>3.148864440485493E-2</v>
          </cell>
          <cell r="F189">
            <v>1.7386441571322761E-3</v>
          </cell>
          <cell r="G189">
            <v>1.5953351965651646E-2</v>
          </cell>
          <cell r="H189">
            <v>1.5509993755918682E-2</v>
          </cell>
          <cell r="I189">
            <v>0.93054691904157993</v>
          </cell>
          <cell r="J189">
            <v>0</v>
          </cell>
        </row>
        <row r="190">
          <cell r="A190">
            <v>187</v>
          </cell>
          <cell r="B190" t="str">
            <v>Non Welsh SLAs</v>
          </cell>
          <cell r="C190" t="str">
            <v xml:space="preserve">Walton Centre NHS Foundation Trust </v>
          </cell>
          <cell r="D190">
            <v>2.0812880079952486E-4</v>
          </cell>
          <cell r="E190">
            <v>1.4951838276898568E-4</v>
          </cell>
          <cell r="F190">
            <v>5.2718436563853121E-5</v>
          </cell>
          <cell r="G190">
            <v>9.6402434232189236E-4</v>
          </cell>
          <cell r="H190">
            <v>2.2396128128224097E-4</v>
          </cell>
          <cell r="I190">
            <v>6.6748601744209242E-3</v>
          </cell>
          <cell r="J190">
            <v>0.9917267885818426</v>
          </cell>
        </row>
        <row r="191">
          <cell r="A191">
            <v>188</v>
          </cell>
          <cell r="B191" t="str">
            <v>Non Welsh SLAs</v>
          </cell>
          <cell r="C191" t="str">
            <v>Wye Valley NHS Trust (Hereford)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1</v>
          </cell>
          <cell r="J191">
            <v>0</v>
          </cell>
        </row>
        <row r="192">
          <cell r="A192">
            <v>189</v>
          </cell>
          <cell r="B192" t="str">
            <v>Non Welsh SLAs</v>
          </cell>
          <cell r="C192" t="str">
            <v>PETIC</v>
          </cell>
          <cell r="D192">
            <v>0.1755545068428504</v>
          </cell>
          <cell r="E192">
            <v>0.23312883435582821</v>
          </cell>
          <cell r="F192">
            <v>0.15384615384615385</v>
          </cell>
          <cell r="G192">
            <v>0.22369042000943842</v>
          </cell>
          <cell r="H192">
            <v>0.15950920245398773</v>
          </cell>
          <cell r="I192">
            <v>5.2855120339782916E-2</v>
          </cell>
          <cell r="J192">
            <v>1.4157621519584711E-3</v>
          </cell>
        </row>
        <row r="193">
          <cell r="A193">
            <v>190</v>
          </cell>
          <cell r="B193" t="str">
            <v>Non Welsh SLAs</v>
          </cell>
          <cell r="C193" t="str">
            <v xml:space="preserve">National Organ Donation 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</row>
        <row r="194">
          <cell r="A194">
            <v>191</v>
          </cell>
          <cell r="B194" t="str">
            <v>Non Welsh SLAs</v>
          </cell>
          <cell r="C194" t="str">
            <v>HCS Activity Project</v>
          </cell>
          <cell r="D194">
            <v>0.11149770000000001</v>
          </cell>
          <cell r="E194">
            <v>0.1006384</v>
          </cell>
          <cell r="F194">
            <v>4.0859300000000001E-2</v>
          </cell>
          <cell r="G194">
            <v>0.1162634</v>
          </cell>
          <cell r="H194">
            <v>7.3514099999999999E-2</v>
          </cell>
          <cell r="I194">
            <v>0.15967020000000001</v>
          </cell>
          <cell r="J194">
            <v>0.39755689999999999</v>
          </cell>
        </row>
        <row r="195">
          <cell r="A195">
            <v>192</v>
          </cell>
          <cell r="B195" t="str">
            <v>Non Welsh SLAs</v>
          </cell>
          <cell r="C195" t="str">
            <v>MH High Secure - Rampton</v>
          </cell>
          <cell r="D195">
            <v>0.2781679660990718</v>
          </cell>
          <cell r="E195">
            <v>9.2858885460110605E-2</v>
          </cell>
          <cell r="F195">
            <v>2.558801473154651E-2</v>
          </cell>
          <cell r="G195">
            <v>0.23389534007560359</v>
          </cell>
          <cell r="H195">
            <v>7.1059866029649893E-2</v>
          </cell>
          <cell r="I195">
            <v>4.1480614164813259E-2</v>
          </cell>
          <cell r="J195">
            <v>0.25694931343920435</v>
          </cell>
        </row>
        <row r="196">
          <cell r="A196">
            <v>193</v>
          </cell>
          <cell r="B196" t="str">
            <v>Non Welsh SLAs</v>
          </cell>
          <cell r="C196" t="str">
            <v>MH High Secure - Ashworth</v>
          </cell>
          <cell r="D196">
            <v>0.2781679660990718</v>
          </cell>
          <cell r="E196">
            <v>9.2858885460110605E-2</v>
          </cell>
          <cell r="F196">
            <v>2.558801473154651E-2</v>
          </cell>
          <cell r="G196">
            <v>0.23389534007560359</v>
          </cell>
          <cell r="H196">
            <v>7.1059866029649893E-2</v>
          </cell>
          <cell r="I196">
            <v>4.1480614164813259E-2</v>
          </cell>
          <cell r="J196">
            <v>0.25694931343920435</v>
          </cell>
        </row>
        <row r="197">
          <cell r="A197">
            <v>194</v>
          </cell>
          <cell r="B197" t="str">
            <v>Non Welsh SLAs</v>
          </cell>
          <cell r="C197" t="str">
            <v>MH High Secure - Other</v>
          </cell>
          <cell r="D197">
            <v>0.2781679660990718</v>
          </cell>
          <cell r="E197">
            <v>9.2858885460110605E-2</v>
          </cell>
          <cell r="F197">
            <v>2.558801473154651E-2</v>
          </cell>
          <cell r="G197">
            <v>0.23389534007560359</v>
          </cell>
          <cell r="H197">
            <v>7.1059866029649893E-2</v>
          </cell>
          <cell r="I197">
            <v>4.1480614164813259E-2</v>
          </cell>
          <cell r="J197">
            <v>0.25694931343920435</v>
          </cell>
        </row>
        <row r="198">
          <cell r="A198">
            <v>195</v>
          </cell>
          <cell r="B198" t="str">
            <v>Non Welsh SLAs</v>
          </cell>
          <cell r="C198" t="str">
            <v>MH High Secure - Contract savings 13/14 and 14/15 (Ashworth only)</v>
          </cell>
          <cell r="D198">
            <v>4.6073842989675366E-2</v>
          </cell>
          <cell r="E198">
            <v>7.9753432974124572E-2</v>
          </cell>
          <cell r="F198">
            <v>0.14922252142995521</v>
          </cell>
          <cell r="G198">
            <v>0.1498458402329208</v>
          </cell>
          <cell r="H198">
            <v>0.13578006870462239</v>
          </cell>
          <cell r="I198">
            <v>0.37135708231636894</v>
          </cell>
          <cell r="J198">
            <v>6.796721135233276E-2</v>
          </cell>
        </row>
        <row r="199">
          <cell r="A199">
            <v>196</v>
          </cell>
          <cell r="B199" t="str">
            <v>Non Welsh SLAs</v>
          </cell>
          <cell r="C199" t="str">
            <v>MH High Secure - Contract savings 15/16 (Ashworth only)</v>
          </cell>
          <cell r="D199">
            <v>0.2781679660990718</v>
          </cell>
          <cell r="E199">
            <v>9.2858885460110605E-2</v>
          </cell>
          <cell r="F199">
            <v>2.558801473154651E-2</v>
          </cell>
          <cell r="G199">
            <v>0.23389534007560359</v>
          </cell>
          <cell r="H199">
            <v>7.1059866029649893E-2</v>
          </cell>
          <cell r="I199">
            <v>4.1480614164813259E-2</v>
          </cell>
          <cell r="J199">
            <v>0.25694931343920435</v>
          </cell>
        </row>
        <row r="200">
          <cell r="A200">
            <v>197</v>
          </cell>
          <cell r="B200" t="str">
            <v>Non Welsh SLAs</v>
          </cell>
          <cell r="C200" t="str">
            <v>MH High Secure - Contract savings 16/17</v>
          </cell>
          <cell r="D200">
            <v>0.21380923503421986</v>
          </cell>
          <cell r="E200">
            <v>0.20263363077189639</v>
          </cell>
          <cell r="F200">
            <v>0.11608767218227498</v>
          </cell>
          <cell r="G200">
            <v>8.7065754136706225E-2</v>
          </cell>
          <cell r="H200">
            <v>0.11608767218227498</v>
          </cell>
          <cell r="I200">
            <v>3.5259464610586502E-2</v>
          </cell>
          <cell r="J200">
            <v>0.22905657108204105</v>
          </cell>
        </row>
        <row r="201">
          <cell r="A201">
            <v>198</v>
          </cell>
          <cell r="B201" t="str">
            <v>Non Welsh SLAs</v>
          </cell>
          <cell r="C201" t="str">
            <v>MH High Secure - Case Management Investment</v>
          </cell>
          <cell r="D201">
            <v>0.21380923503421986</v>
          </cell>
          <cell r="E201">
            <v>0.20263363077189639</v>
          </cell>
          <cell r="F201">
            <v>0.11608767218227498</v>
          </cell>
          <cell r="G201">
            <v>8.7065754136706225E-2</v>
          </cell>
          <cell r="H201">
            <v>0.11608767218227498</v>
          </cell>
          <cell r="I201">
            <v>3.5259464610586502E-2</v>
          </cell>
          <cell r="J201">
            <v>0.22905657108204105</v>
          </cell>
        </row>
        <row r="202">
          <cell r="A202">
            <v>199</v>
          </cell>
          <cell r="B202" t="str">
            <v>Non Welsh SLAs</v>
          </cell>
          <cell r="C202" t="str">
            <v>MH High Secure - Saving inverse of utilisation risk share</v>
          </cell>
          <cell r="D202">
            <v>4.6073842989675359E-2</v>
          </cell>
          <cell r="E202">
            <v>7.9753432974124558E-2</v>
          </cell>
          <cell r="F202">
            <v>0.14922252142995518</v>
          </cell>
          <cell r="G202">
            <v>0.14984584023292077</v>
          </cell>
          <cell r="H202">
            <v>0.13578006870462236</v>
          </cell>
          <cell r="I202">
            <v>0.37135708231636888</v>
          </cell>
          <cell r="J202">
            <v>6.7967211352332746E-2</v>
          </cell>
        </row>
        <row r="203">
          <cell r="A203">
            <v>200</v>
          </cell>
          <cell r="B203" t="str">
            <v>IPM</v>
          </cell>
          <cell r="C203" t="str">
            <v>NCA / IPFR / Prior Approvals</v>
          </cell>
          <cell r="D203">
            <v>0.19776245963116071</v>
          </cell>
          <cell r="E203">
            <v>0.13775968519330412</v>
          </cell>
          <cell r="F203">
            <v>5.1990212516967713E-2</v>
          </cell>
          <cell r="G203">
            <v>0.22916531416420546</v>
          </cell>
          <cell r="H203">
            <v>8.5478053601097864E-2</v>
          </cell>
          <cell r="I203">
            <v>8.8462568649574663E-2</v>
          </cell>
          <cell r="J203">
            <v>0.20938170624368935</v>
          </cell>
        </row>
        <row r="204">
          <cell r="A204">
            <v>201</v>
          </cell>
          <cell r="B204" t="str">
            <v>IPM</v>
          </cell>
          <cell r="C204" t="str">
            <v>Proton Beam Therapy</v>
          </cell>
          <cell r="D204">
            <v>0.19776245963116071</v>
          </cell>
          <cell r="E204">
            <v>0.13775968519330412</v>
          </cell>
          <cell r="F204">
            <v>5.1990212516967713E-2</v>
          </cell>
          <cell r="G204">
            <v>0.22916531416420546</v>
          </cell>
          <cell r="H204">
            <v>8.5478053601097864E-2</v>
          </cell>
          <cell r="I204">
            <v>8.8462568649574663E-2</v>
          </cell>
          <cell r="J204">
            <v>0.20938170624368935</v>
          </cell>
        </row>
        <row r="205">
          <cell r="A205">
            <v>202</v>
          </cell>
          <cell r="B205" t="str">
            <v>IPM</v>
          </cell>
          <cell r="C205" t="str">
            <v>Eculizumab</v>
          </cell>
          <cell r="D205">
            <v>7.0766903554820015E-2</v>
          </cell>
          <cell r="E205">
            <v>0.17563172254381432</v>
          </cell>
          <cell r="F205">
            <v>0.16974696151628388</v>
          </cell>
          <cell r="G205">
            <v>5.6613522843856012E-2</v>
          </cell>
          <cell r="H205">
            <v>0.1279795112964946</v>
          </cell>
          <cell r="I205">
            <v>5.9608947332948921E-2</v>
          </cell>
          <cell r="J205">
            <v>0.33965243091178227</v>
          </cell>
        </row>
        <row r="206">
          <cell r="A206">
            <v>203</v>
          </cell>
          <cell r="B206" t="str">
            <v>IPM</v>
          </cell>
          <cell r="C206" t="str">
            <v>Eculizumab (AHUS)</v>
          </cell>
          <cell r="D206">
            <v>0.15590000000000001</v>
          </cell>
          <cell r="E206">
            <v>0.1691</v>
          </cell>
          <cell r="F206">
            <v>9.5600000000000004E-2</v>
          </cell>
          <cell r="G206">
            <v>0.18779999999999999</v>
          </cell>
          <cell r="H206">
            <v>0.1242</v>
          </cell>
          <cell r="I206">
            <v>4.2900000000000001E-2</v>
          </cell>
          <cell r="J206">
            <v>0.22450000000000001</v>
          </cell>
        </row>
        <row r="207">
          <cell r="A207">
            <v>204</v>
          </cell>
          <cell r="B207" t="str">
            <v>IPM</v>
          </cell>
          <cell r="C207" t="str">
            <v>ALAS (War veterans)</v>
          </cell>
          <cell r="D207">
            <v>0.68262755603326064</v>
          </cell>
          <cell r="E207">
            <v>1.9402000851703575E-2</v>
          </cell>
          <cell r="F207">
            <v>0</v>
          </cell>
          <cell r="G207">
            <v>0.1935488827314143</v>
          </cell>
          <cell r="H207">
            <v>4.5058200823451565E-4</v>
          </cell>
          <cell r="I207">
            <v>5.5708984100281592E-2</v>
          </cell>
          <cell r="J207">
            <v>4.8261994275105261E-2</v>
          </cell>
        </row>
        <row r="208">
          <cell r="A208">
            <v>205</v>
          </cell>
          <cell r="B208" t="str">
            <v>IPM</v>
          </cell>
          <cell r="C208" t="str">
            <v>ERT</v>
          </cell>
          <cell r="D208">
            <v>0.18233134117193928</v>
          </cell>
          <cell r="E208">
            <v>0.12713185820886161</v>
          </cell>
          <cell r="F208">
            <v>0.16460595798972666</v>
          </cell>
          <cell r="G208">
            <v>0.39109427367818234</v>
          </cell>
          <cell r="H208">
            <v>0.10030209344649703</v>
          </cell>
          <cell r="I208">
            <v>1.4134679000923094E-2</v>
          </cell>
          <cell r="J208">
            <v>2.0399796503869954E-2</v>
          </cell>
        </row>
        <row r="209">
          <cell r="A209">
            <v>206</v>
          </cell>
          <cell r="B209" t="str">
            <v>IPM</v>
          </cell>
          <cell r="C209" t="str">
            <v>ERT - Planned Switching &amp; Dosage Review Savings Scheme</v>
          </cell>
          <cell r="D209">
            <v>0.14960000000000001</v>
          </cell>
          <cell r="E209">
            <v>0.16650000000000001</v>
          </cell>
          <cell r="F209">
            <v>9.6799999999999997E-2</v>
          </cell>
          <cell r="G209">
            <v>0.188</v>
          </cell>
          <cell r="H209">
            <v>0.12640000000000001</v>
          </cell>
          <cell r="I209">
            <v>4.4499999999999998E-2</v>
          </cell>
          <cell r="J209">
            <v>0.22819999999999999</v>
          </cell>
        </row>
        <row r="210">
          <cell r="A210">
            <v>207</v>
          </cell>
          <cell r="B210" t="str">
            <v>IPM</v>
          </cell>
          <cell r="C210" t="str">
            <v>HPN</v>
          </cell>
          <cell r="D210">
            <v>0.35245930227415323</v>
          </cell>
          <cell r="E210">
            <v>7.5055231532228497E-2</v>
          </cell>
          <cell r="F210">
            <v>0.15530723003204797</v>
          </cell>
          <cell r="G210">
            <v>0.22690917535795579</v>
          </cell>
          <cell r="H210">
            <v>7.1969632790216134E-2</v>
          </cell>
          <cell r="I210">
            <v>1.7293058025823822E-2</v>
          </cell>
          <cell r="J210">
            <v>0.10100636998757455</v>
          </cell>
        </row>
        <row r="211">
          <cell r="A211">
            <v>208</v>
          </cell>
          <cell r="B211" t="str">
            <v>IPM</v>
          </cell>
          <cell r="C211" t="str">
            <v>PHT</v>
          </cell>
          <cell r="D211">
            <v>3.3860792760185346E-2</v>
          </cell>
          <cell r="E211">
            <v>1.6409391295270196E-2</v>
          </cell>
          <cell r="F211">
            <v>0.12873518497725658</v>
          </cell>
          <cell r="G211">
            <v>0.2099142292649406</v>
          </cell>
          <cell r="H211">
            <v>0</v>
          </cell>
          <cell r="I211">
            <v>6.7238988407270842E-2</v>
          </cell>
          <cell r="J211">
            <v>0.54384141329507651</v>
          </cell>
        </row>
        <row r="212">
          <cell r="A212">
            <v>209</v>
          </cell>
          <cell r="B212" t="str">
            <v>IPM</v>
          </cell>
          <cell r="C212" t="str">
            <v>MS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0.17129375397437763</v>
          </cell>
          <cell r="J212">
            <v>0.82870624602562237</v>
          </cell>
        </row>
        <row r="213">
          <cell r="A213">
            <v>210</v>
          </cell>
          <cell r="B213" t="str">
            <v>IPM</v>
          </cell>
          <cell r="C213" t="str">
            <v>Forensic Mental Health</v>
          </cell>
          <cell r="D213">
            <v>0.19832842949127968</v>
          </cell>
          <cell r="E213">
            <v>0.23077907125495714</v>
          </cell>
          <cell r="F213">
            <v>8.9377851690759458E-2</v>
          </cell>
          <cell r="G213">
            <v>0.10754338834164855</v>
          </cell>
          <cell r="H213">
            <v>4.9294273165323442E-2</v>
          </cell>
          <cell r="I213">
            <v>5.2876209969724107E-2</v>
          </cell>
          <cell r="J213">
            <v>0.27180077608630759</v>
          </cell>
        </row>
        <row r="214">
          <cell r="A214">
            <v>211</v>
          </cell>
          <cell r="B214" t="str">
            <v>IPM</v>
          </cell>
          <cell r="C214" t="str">
            <v>Case Management Investment b</v>
          </cell>
          <cell r="D214">
            <v>0.19832842949127968</v>
          </cell>
          <cell r="E214">
            <v>0.23077907125495714</v>
          </cell>
          <cell r="F214">
            <v>8.9377851690759458E-2</v>
          </cell>
          <cell r="G214">
            <v>0.10754338834164855</v>
          </cell>
          <cell r="H214">
            <v>4.9294273165323442E-2</v>
          </cell>
          <cell r="I214">
            <v>5.2876209969724107E-2</v>
          </cell>
          <cell r="J214">
            <v>0.27180077608630759</v>
          </cell>
        </row>
        <row r="215">
          <cell r="A215">
            <v>212</v>
          </cell>
          <cell r="B215" t="str">
            <v>IPM</v>
          </cell>
          <cell r="C215" t="str">
            <v>Medium secure DTOC recharges</v>
          </cell>
          <cell r="D215">
            <v>0.19832842949127968</v>
          </cell>
          <cell r="E215">
            <v>0.23077907125495714</v>
          </cell>
          <cell r="F215">
            <v>8.9377851690759458E-2</v>
          </cell>
          <cell r="G215">
            <v>0.10754338834164855</v>
          </cell>
          <cell r="H215">
            <v>4.9294273165323442E-2</v>
          </cell>
          <cell r="I215">
            <v>5.2876209969724107E-2</v>
          </cell>
          <cell r="J215">
            <v>0.27180077608630759</v>
          </cell>
        </row>
        <row r="216">
          <cell r="A216">
            <v>213</v>
          </cell>
          <cell r="B216" t="str">
            <v>IPM</v>
          </cell>
          <cell r="C216" t="str">
            <v>Gender</v>
          </cell>
          <cell r="D216">
            <v>0.27628342290053537</v>
          </cell>
          <cell r="E216">
            <v>0.18884494011353695</v>
          </cell>
          <cell r="F216">
            <v>3.2171825171355035E-2</v>
          </cell>
          <cell r="G216">
            <v>0.10887834113871912</v>
          </cell>
          <cell r="H216">
            <v>0.1418975342441916</v>
          </cell>
          <cell r="I216">
            <v>4.7979001474685742E-2</v>
          </cell>
          <cell r="J216">
            <v>0.20394493495697597</v>
          </cell>
        </row>
        <row r="217">
          <cell r="A217">
            <v>214</v>
          </cell>
          <cell r="B217" t="str">
            <v>IPM</v>
          </cell>
          <cell r="C217" t="str">
            <v>Perinatal OOA</v>
          </cell>
          <cell r="D217">
            <v>0.25949467667776188</v>
          </cell>
          <cell r="E217">
            <v>0.446862226616911</v>
          </cell>
          <cell r="F217">
            <v>0.14732128132867672</v>
          </cell>
          <cell r="G217">
            <v>0</v>
          </cell>
          <cell r="H217">
            <v>0</v>
          </cell>
          <cell r="I217">
            <v>0.14632181537665043</v>
          </cell>
          <cell r="J217">
            <v>0</v>
          </cell>
        </row>
        <row r="218">
          <cell r="A218">
            <v>215</v>
          </cell>
          <cell r="B218" t="str">
            <v>IPM</v>
          </cell>
          <cell r="C218" t="str">
            <v>Deaf MH</v>
          </cell>
          <cell r="D218">
            <v>1.7257592517461017E-2</v>
          </cell>
          <cell r="E218">
            <v>9.373294378453316E-2</v>
          </cell>
          <cell r="F218">
            <v>0</v>
          </cell>
          <cell r="G218">
            <v>0.29367380420010442</v>
          </cell>
          <cell r="H218">
            <v>0.59533565949790146</v>
          </cell>
          <cell r="I218">
            <v>0</v>
          </cell>
          <cell r="J218">
            <v>0</v>
          </cell>
        </row>
        <row r="219">
          <cell r="A219">
            <v>216</v>
          </cell>
          <cell r="B219" t="str">
            <v>IPM</v>
          </cell>
          <cell r="C219" t="str">
            <v>Other MH</v>
          </cell>
          <cell r="D219">
            <v>0.15640000000000001</v>
          </cell>
          <cell r="E219">
            <v>0.1696</v>
          </cell>
          <cell r="F219">
            <v>9.5799999999999996E-2</v>
          </cell>
          <cell r="G219">
            <v>0.18759999999999999</v>
          </cell>
          <cell r="H219">
            <v>0.1237</v>
          </cell>
          <cell r="I219">
            <v>4.2799999999999998E-2</v>
          </cell>
          <cell r="J219">
            <v>0.22409999999999999</v>
          </cell>
        </row>
        <row r="220">
          <cell r="A220">
            <v>217</v>
          </cell>
          <cell r="B220" t="str">
            <v>IPM</v>
          </cell>
          <cell r="C220" t="str">
            <v>Eating Disorders</v>
          </cell>
          <cell r="D220">
            <v>0.31080375782881003</v>
          </cell>
          <cell r="E220">
            <v>0.125</v>
          </cell>
          <cell r="F220">
            <v>0.22546972860125261</v>
          </cell>
          <cell r="G220">
            <v>0.17379958246346555</v>
          </cell>
          <cell r="H220">
            <v>4.6711899791231734E-2</v>
          </cell>
          <cell r="I220">
            <v>2.896659707724426E-2</v>
          </cell>
          <cell r="J220">
            <v>8.9248434237995819E-2</v>
          </cell>
        </row>
        <row r="221">
          <cell r="A221">
            <v>218</v>
          </cell>
          <cell r="B221" t="str">
            <v>IPM</v>
          </cell>
          <cell r="C221" t="str">
            <v>CAMHS OOA - BCU patients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1</v>
          </cell>
        </row>
        <row r="222">
          <cell r="A222">
            <v>219</v>
          </cell>
          <cell r="B222" t="str">
            <v>IPM</v>
          </cell>
          <cell r="C222" t="str">
            <v>CAMHS OOA - South Wales patients</v>
          </cell>
          <cell r="D222">
            <v>0.18658892128279883</v>
          </cell>
          <cell r="E222">
            <v>0.10262390670553936</v>
          </cell>
          <cell r="F222">
            <v>8.1049562682215748E-2</v>
          </cell>
          <cell r="G222">
            <v>0.24606413994169096</v>
          </cell>
          <cell r="H222">
            <v>0.3836734693877551</v>
          </cell>
          <cell r="I222">
            <v>0</v>
          </cell>
          <cell r="J222">
            <v>0</v>
          </cell>
        </row>
        <row r="223">
          <cell r="A223">
            <v>220</v>
          </cell>
          <cell r="B223" t="str">
            <v>IPM</v>
          </cell>
          <cell r="C223" t="str">
            <v>FACTS OOA - All-Wales</v>
          </cell>
          <cell r="D223">
            <v>0</v>
          </cell>
          <cell r="E223">
            <v>0.24674384949348771</v>
          </cell>
          <cell r="F223">
            <v>0.53039073806078152</v>
          </cell>
          <cell r="G223">
            <v>0</v>
          </cell>
          <cell r="H223">
            <v>0</v>
          </cell>
          <cell r="I223">
            <v>0</v>
          </cell>
          <cell r="J223">
            <v>0.22286541244573083</v>
          </cell>
        </row>
        <row r="224">
          <cell r="A224">
            <v>221</v>
          </cell>
          <cell r="B224" t="str">
            <v>IPM</v>
          </cell>
          <cell r="C224" t="str">
            <v>IVF (IPC)</v>
          </cell>
          <cell r="D224">
            <v>0.26139273273162794</v>
          </cell>
          <cell r="E224">
            <v>4.8329169830875429E-2</v>
          </cell>
          <cell r="F224">
            <v>0.11396703834743402</v>
          </cell>
          <cell r="G224">
            <v>2.2378192024586175E-2</v>
          </cell>
          <cell r="H224">
            <v>6.4648110293248948E-2</v>
          </cell>
          <cell r="I224">
            <v>0</v>
          </cell>
          <cell r="J224">
            <v>0.48928475677222755</v>
          </cell>
        </row>
        <row r="225">
          <cell r="A225">
            <v>222</v>
          </cell>
          <cell r="B225" t="str">
            <v>IPM</v>
          </cell>
          <cell r="C225" t="str">
            <v>IVF (non-Wales)</v>
          </cell>
          <cell r="D225">
            <v>3.4013605442176869E-3</v>
          </cell>
          <cell r="E225">
            <v>0</v>
          </cell>
          <cell r="F225">
            <v>3.4013605442176869E-3</v>
          </cell>
          <cell r="G225">
            <v>0</v>
          </cell>
          <cell r="H225">
            <v>3.4013605442176869E-3</v>
          </cell>
          <cell r="I225">
            <v>0.11564625850340136</v>
          </cell>
          <cell r="J225">
            <v>0.87414965986394555</v>
          </cell>
        </row>
        <row r="226">
          <cell r="A226">
            <v>223</v>
          </cell>
          <cell r="B226" t="str">
            <v>IPM</v>
          </cell>
          <cell r="C226" t="str">
            <v>IVF (non-Wales) - activity moving back to Welsh contract for 14/15 as unit now open</v>
          </cell>
          <cell r="D226">
            <v>3.4013605442176869E-3</v>
          </cell>
          <cell r="E226">
            <v>0</v>
          </cell>
          <cell r="F226">
            <v>3.4013605442176869E-3</v>
          </cell>
          <cell r="G226">
            <v>0</v>
          </cell>
          <cell r="H226">
            <v>3.4013605442176869E-3</v>
          </cell>
          <cell r="I226">
            <v>0.11564625850340136</v>
          </cell>
          <cell r="J226">
            <v>0.87414965986394555</v>
          </cell>
        </row>
        <row r="227">
          <cell r="A227">
            <v>224</v>
          </cell>
          <cell r="B227" t="str">
            <v>IPM</v>
          </cell>
          <cell r="C227" t="str">
            <v>IVF (Welsh contracts)</v>
          </cell>
          <cell r="D227">
            <v>0.25930851063829785</v>
          </cell>
          <cell r="E227">
            <v>0.28324468085106386</v>
          </cell>
          <cell r="F227">
            <v>7.9787234042553196E-2</v>
          </cell>
          <cell r="G227">
            <v>0.18617021276595744</v>
          </cell>
          <cell r="H227">
            <v>0.17287234042553193</v>
          </cell>
          <cell r="I227">
            <v>1.7287234042553192E-2</v>
          </cell>
          <cell r="J227">
            <v>1.3297872340425532E-3</v>
          </cell>
        </row>
        <row r="228">
          <cell r="A228">
            <v>225</v>
          </cell>
          <cell r="B228" t="str">
            <v>Renal</v>
          </cell>
          <cell r="C228" t="str">
            <v>Return of Non Recurring Saving</v>
          </cell>
          <cell r="D228">
            <v>0.14960000000000001</v>
          </cell>
          <cell r="E228">
            <v>0.16650000000000001</v>
          </cell>
          <cell r="F228">
            <v>9.6799999999999997E-2</v>
          </cell>
          <cell r="G228">
            <v>0.188</v>
          </cell>
          <cell r="H228">
            <v>0.12640000000000001</v>
          </cell>
          <cell r="I228">
            <v>4.4499999999999998E-2</v>
          </cell>
          <cell r="J228">
            <v>0.22819999999999999</v>
          </cell>
        </row>
        <row r="229">
          <cell r="A229">
            <v>226</v>
          </cell>
          <cell r="B229" t="str">
            <v>Renal</v>
          </cell>
          <cell r="C229" t="str">
            <v>All Wales Growth in Dialysis Demand</v>
          </cell>
          <cell r="D229">
            <v>0.14960000000000001</v>
          </cell>
          <cell r="E229">
            <v>0.16650000000000001</v>
          </cell>
          <cell r="F229">
            <v>9.6799999999999997E-2</v>
          </cell>
          <cell r="G229">
            <v>0.188</v>
          </cell>
          <cell r="H229">
            <v>0.12640000000000001</v>
          </cell>
          <cell r="I229">
            <v>4.4499999999999998E-2</v>
          </cell>
          <cell r="J229">
            <v>0.22819999999999999</v>
          </cell>
        </row>
        <row r="230">
          <cell r="A230">
            <v>227</v>
          </cell>
          <cell r="B230" t="str">
            <v>Renal</v>
          </cell>
          <cell r="C230" t="str">
            <v>C&amp;V Dialysis ISP Inflation 2012/2013-2013/2014</v>
          </cell>
          <cell r="D230">
            <v>0.14960000000000001</v>
          </cell>
          <cell r="E230">
            <v>0.16650000000000001</v>
          </cell>
          <cell r="F230">
            <v>9.6799999999999997E-2</v>
          </cell>
          <cell r="G230">
            <v>0.188</v>
          </cell>
          <cell r="H230">
            <v>0.12640000000000001</v>
          </cell>
          <cell r="I230">
            <v>4.4499999999999998E-2</v>
          </cell>
          <cell r="J230">
            <v>0.22819999999999999</v>
          </cell>
        </row>
        <row r="231">
          <cell r="A231">
            <v>228</v>
          </cell>
          <cell r="B231" t="str">
            <v>Renal</v>
          </cell>
          <cell r="C231" t="str">
            <v xml:space="preserve">C&amp;V Dialysis Underperformance </v>
          </cell>
          <cell r="D231">
            <v>0.14960000000000001</v>
          </cell>
          <cell r="E231">
            <v>0.16650000000000001</v>
          </cell>
          <cell r="F231">
            <v>9.6799999999999997E-2</v>
          </cell>
          <cell r="G231">
            <v>0.188</v>
          </cell>
          <cell r="H231">
            <v>0.12640000000000001</v>
          </cell>
          <cell r="I231">
            <v>4.4499999999999998E-2</v>
          </cell>
          <cell r="J231">
            <v>0.22819999999999999</v>
          </cell>
        </row>
        <row r="232">
          <cell r="A232">
            <v>229</v>
          </cell>
          <cell r="B232" t="str">
            <v>Renal</v>
          </cell>
          <cell r="C232" t="str">
            <v>Renal IT Systems</v>
          </cell>
          <cell r="D232">
            <v>0.14960000000000001</v>
          </cell>
          <cell r="E232">
            <v>0.16650000000000001</v>
          </cell>
          <cell r="F232">
            <v>9.6799999999999997E-2</v>
          </cell>
          <cell r="G232">
            <v>0.188</v>
          </cell>
          <cell r="H232">
            <v>0.12640000000000001</v>
          </cell>
          <cell r="I232">
            <v>4.4499999999999998E-2</v>
          </cell>
          <cell r="J232">
            <v>0.22819999999999999</v>
          </cell>
        </row>
        <row r="233">
          <cell r="A233">
            <v>230</v>
          </cell>
          <cell r="B233" t="str">
            <v>Renal</v>
          </cell>
          <cell r="C233" t="str">
            <v>NWSSP Procurement Support Costs</v>
          </cell>
          <cell r="D233">
            <v>0.14960000000000001</v>
          </cell>
          <cell r="E233">
            <v>0.16650000000000001</v>
          </cell>
          <cell r="F233">
            <v>9.6799999999999997E-2</v>
          </cell>
          <cell r="G233">
            <v>0.188</v>
          </cell>
          <cell r="H233">
            <v>0.12640000000000001</v>
          </cell>
          <cell r="I233">
            <v>4.4499999999999998E-2</v>
          </cell>
          <cell r="J233">
            <v>0.22819999999999999</v>
          </cell>
        </row>
        <row r="234">
          <cell r="A234">
            <v>231</v>
          </cell>
          <cell r="B234" t="str">
            <v>Renal</v>
          </cell>
          <cell r="C234" t="str">
            <v xml:space="preserve">WAST Transport for Wirral LTA </v>
          </cell>
          <cell r="D234">
            <v>0.14960000000000001</v>
          </cell>
          <cell r="E234">
            <v>0.16650000000000001</v>
          </cell>
          <cell r="F234">
            <v>9.6799999999999997E-2</v>
          </cell>
          <cell r="G234">
            <v>0.188</v>
          </cell>
          <cell r="H234">
            <v>0.12640000000000001</v>
          </cell>
          <cell r="I234">
            <v>4.4499999999999998E-2</v>
          </cell>
          <cell r="J234">
            <v>0.22819999999999999</v>
          </cell>
        </row>
        <row r="235">
          <cell r="A235">
            <v>232</v>
          </cell>
          <cell r="B235" t="str">
            <v>Renal</v>
          </cell>
          <cell r="C235" t="str">
            <v>ABMU Dialyis Transport</v>
          </cell>
          <cell r="D235">
            <v>0.14960000000000001</v>
          </cell>
          <cell r="E235">
            <v>0.16650000000000001</v>
          </cell>
          <cell r="F235">
            <v>9.6799999999999997E-2</v>
          </cell>
          <cell r="G235">
            <v>0.188</v>
          </cell>
          <cell r="H235">
            <v>0.12640000000000001</v>
          </cell>
          <cell r="I235">
            <v>4.4499999999999998E-2</v>
          </cell>
          <cell r="J235">
            <v>0.22819999999999999</v>
          </cell>
        </row>
        <row r="236">
          <cell r="A236">
            <v>233</v>
          </cell>
          <cell r="B236" t="str">
            <v>Renal</v>
          </cell>
          <cell r="C236" t="str">
            <v xml:space="preserve">ABMU Vascular Access Nurse post </v>
          </cell>
          <cell r="D236">
            <v>0.14960000000000001</v>
          </cell>
          <cell r="E236">
            <v>0.16650000000000001</v>
          </cell>
          <cell r="F236">
            <v>9.6799999999999997E-2</v>
          </cell>
          <cell r="G236">
            <v>0.188</v>
          </cell>
          <cell r="H236">
            <v>0.12640000000000001</v>
          </cell>
          <cell r="I236">
            <v>4.4499999999999998E-2</v>
          </cell>
          <cell r="J236">
            <v>0.22819999999999999</v>
          </cell>
        </row>
        <row r="237">
          <cell r="A237">
            <v>234</v>
          </cell>
          <cell r="B237" t="str">
            <v>Renal</v>
          </cell>
          <cell r="C237" t="str">
            <v xml:space="preserve">BCU Dialysis Growth </v>
          </cell>
          <cell r="D237">
            <v>0.14960000000000001</v>
          </cell>
          <cell r="E237">
            <v>0.16650000000000001</v>
          </cell>
          <cell r="F237">
            <v>9.6799999999999997E-2</v>
          </cell>
          <cell r="G237">
            <v>0.188</v>
          </cell>
          <cell r="H237">
            <v>0.12640000000000001</v>
          </cell>
          <cell r="I237">
            <v>4.4499999999999998E-2</v>
          </cell>
          <cell r="J237">
            <v>0.22819999999999999</v>
          </cell>
        </row>
        <row r="238">
          <cell r="A238">
            <v>235</v>
          </cell>
          <cell r="B238" t="str">
            <v>Renal</v>
          </cell>
          <cell r="C238" t="str">
            <v>Shrewsbury and Telford Dialysis unit</v>
          </cell>
          <cell r="D238">
            <v>0.14960000000000001</v>
          </cell>
          <cell r="E238">
            <v>0.16650000000000001</v>
          </cell>
          <cell r="F238">
            <v>9.6799999999999997E-2</v>
          </cell>
          <cell r="G238">
            <v>0.188</v>
          </cell>
          <cell r="H238">
            <v>0.12640000000000001</v>
          </cell>
          <cell r="I238">
            <v>4.4499999999999998E-2</v>
          </cell>
          <cell r="J238">
            <v>0.22819999999999999</v>
          </cell>
        </row>
        <row r="239">
          <cell r="A239">
            <v>236</v>
          </cell>
          <cell r="B239" t="str">
            <v>Renal</v>
          </cell>
          <cell r="C239" t="str">
            <v>Llandrindod Wells (Birmingham satellite unit)</v>
          </cell>
          <cell r="D239">
            <v>0.14960000000000001</v>
          </cell>
          <cell r="E239">
            <v>0.16650000000000001</v>
          </cell>
          <cell r="F239">
            <v>9.6799999999999997E-2</v>
          </cell>
          <cell r="G239">
            <v>0.188</v>
          </cell>
          <cell r="H239">
            <v>0.12640000000000001</v>
          </cell>
          <cell r="I239">
            <v>4.4499999999999998E-2</v>
          </cell>
          <cell r="J239">
            <v>0.22819999999999999</v>
          </cell>
        </row>
        <row r="240">
          <cell r="A240">
            <v>237</v>
          </cell>
          <cell r="B240" t="str">
            <v>Renal</v>
          </cell>
          <cell r="C240" t="str">
            <v>Dialysis Unit Capital Charges</v>
          </cell>
          <cell r="D240">
            <v>0.14960000000000001</v>
          </cell>
          <cell r="E240">
            <v>0.16650000000000001</v>
          </cell>
          <cell r="F240">
            <v>9.6799999999999997E-2</v>
          </cell>
          <cell r="G240">
            <v>0.188</v>
          </cell>
          <cell r="H240">
            <v>0.12640000000000001</v>
          </cell>
          <cell r="I240">
            <v>4.4499999999999998E-2</v>
          </cell>
          <cell r="J240">
            <v>0.22819999999999999</v>
          </cell>
        </row>
        <row r="241">
          <cell r="A241">
            <v>238</v>
          </cell>
          <cell r="B241" t="str">
            <v>Renal</v>
          </cell>
          <cell r="C241" t="str">
            <v>Permanent Dialysis Facility in Welshpool</v>
          </cell>
          <cell r="D241">
            <v>0.14960000000000001</v>
          </cell>
          <cell r="E241">
            <v>0.16650000000000001</v>
          </cell>
          <cell r="F241">
            <v>9.6799999999999997E-2</v>
          </cell>
          <cell r="G241">
            <v>0.188</v>
          </cell>
          <cell r="H241">
            <v>0.12640000000000001</v>
          </cell>
          <cell r="I241">
            <v>4.4499999999999998E-2</v>
          </cell>
          <cell r="J241">
            <v>0.22819999999999999</v>
          </cell>
        </row>
        <row r="242">
          <cell r="A242">
            <v>239</v>
          </cell>
          <cell r="B242" t="str">
            <v>Renal</v>
          </cell>
          <cell r="C242" t="str">
            <v xml:space="preserve">All Wales Growth in Transplant </v>
          </cell>
          <cell r="D242">
            <v>0.14960000000000001</v>
          </cell>
          <cell r="E242">
            <v>0.16650000000000001</v>
          </cell>
          <cell r="F242">
            <v>9.6799999999999997E-2</v>
          </cell>
          <cell r="G242">
            <v>0.188</v>
          </cell>
          <cell r="H242">
            <v>0.12640000000000001</v>
          </cell>
          <cell r="I242">
            <v>4.4499999999999998E-2</v>
          </cell>
          <cell r="J242">
            <v>0.22819999999999999</v>
          </cell>
        </row>
        <row r="243">
          <cell r="A243">
            <v>240</v>
          </cell>
          <cell r="B243" t="str">
            <v>Renal</v>
          </cell>
          <cell r="C243" t="str">
            <v>Cardiff and Vale Transplant Centre</v>
          </cell>
          <cell r="D243">
            <v>0.14960000000000001</v>
          </cell>
          <cell r="E243">
            <v>0.16650000000000001</v>
          </cell>
          <cell r="F243">
            <v>9.6799999999999997E-2</v>
          </cell>
          <cell r="G243">
            <v>0.188</v>
          </cell>
          <cell r="H243">
            <v>0.12640000000000001</v>
          </cell>
          <cell r="I243">
            <v>4.4499999999999998E-2</v>
          </cell>
          <cell r="J243">
            <v>0.22819999999999999</v>
          </cell>
        </row>
        <row r="244">
          <cell r="A244">
            <v>241</v>
          </cell>
          <cell r="B244" t="str">
            <v>Renal</v>
          </cell>
          <cell r="C244" t="str">
            <v>Cardiff and Vale Transplant-Underperformance</v>
          </cell>
          <cell r="D244">
            <v>0.14960000000000001</v>
          </cell>
          <cell r="E244">
            <v>0.16650000000000001</v>
          </cell>
          <cell r="F244">
            <v>9.6799999999999997E-2</v>
          </cell>
          <cell r="G244">
            <v>0.188</v>
          </cell>
          <cell r="H244">
            <v>0.12640000000000001</v>
          </cell>
          <cell r="I244">
            <v>4.4499999999999998E-2</v>
          </cell>
          <cell r="J244">
            <v>0.22819999999999999</v>
          </cell>
        </row>
        <row r="245">
          <cell r="A245">
            <v>242</v>
          </cell>
          <cell r="B245" t="str">
            <v>Renal</v>
          </cell>
          <cell r="C245" t="str">
            <v>Royal Liverpool and Broadgreeen Transplant Centre</v>
          </cell>
          <cell r="D245">
            <v>0.14960000000000001</v>
          </cell>
          <cell r="E245">
            <v>0.16650000000000001</v>
          </cell>
          <cell r="F245">
            <v>9.6799999999999997E-2</v>
          </cell>
          <cell r="G245">
            <v>0.188</v>
          </cell>
          <cell r="H245">
            <v>0.12640000000000001</v>
          </cell>
          <cell r="I245">
            <v>4.4499999999999998E-2</v>
          </cell>
          <cell r="J245">
            <v>0.22819999999999999</v>
          </cell>
        </row>
        <row r="246">
          <cell r="A246">
            <v>243</v>
          </cell>
          <cell r="B246" t="str">
            <v>Renal</v>
          </cell>
          <cell r="C246" t="str">
            <v>WBS WTAIL Transplant Laboratory</v>
          </cell>
          <cell r="D246">
            <v>0.14960000000000001</v>
          </cell>
          <cell r="E246">
            <v>0.16650000000000001</v>
          </cell>
          <cell r="F246">
            <v>9.6799999999999997E-2</v>
          </cell>
          <cell r="G246">
            <v>0.188</v>
          </cell>
          <cell r="H246">
            <v>0.12640000000000001</v>
          </cell>
          <cell r="I246">
            <v>4.4499999999999998E-2</v>
          </cell>
          <cell r="J246">
            <v>0.22819999999999999</v>
          </cell>
        </row>
        <row r="247">
          <cell r="A247">
            <v>244</v>
          </cell>
          <cell r="B247" t="str">
            <v>Renal</v>
          </cell>
          <cell r="C247" t="str">
            <v>Cwm Taf Primary Care ESA recharge</v>
          </cell>
          <cell r="D247">
            <v>0.14960000000000001</v>
          </cell>
          <cell r="E247">
            <v>0.16650000000000001</v>
          </cell>
          <cell r="F247">
            <v>9.6799999999999997E-2</v>
          </cell>
          <cell r="G247">
            <v>0.188</v>
          </cell>
          <cell r="H247">
            <v>0.12640000000000001</v>
          </cell>
          <cell r="I247">
            <v>4.4499999999999998E-2</v>
          </cell>
          <cell r="J247">
            <v>0.22819999999999999</v>
          </cell>
        </row>
        <row r="248">
          <cell r="A248">
            <v>245</v>
          </cell>
          <cell r="B248" t="str">
            <v>Renal</v>
          </cell>
          <cell r="C248" t="str">
            <v>Powys Primary Care ESA recharge</v>
          </cell>
          <cell r="D248">
            <v>0.14960000000000001</v>
          </cell>
          <cell r="E248">
            <v>0.16650000000000001</v>
          </cell>
          <cell r="F248">
            <v>9.6799999999999997E-2</v>
          </cell>
          <cell r="G248">
            <v>0.188</v>
          </cell>
          <cell r="H248">
            <v>0.12640000000000001</v>
          </cell>
          <cell r="I248">
            <v>4.4499999999999998E-2</v>
          </cell>
          <cell r="J248">
            <v>0.22819999999999999</v>
          </cell>
        </row>
        <row r="249">
          <cell r="A249">
            <v>246</v>
          </cell>
          <cell r="B249" t="str">
            <v>Renal</v>
          </cell>
          <cell r="C249" t="str">
            <v>Hywel Dda Primary Care ESA recharge</v>
          </cell>
          <cell r="D249">
            <v>0.14960000000000001</v>
          </cell>
          <cell r="E249">
            <v>0.16650000000000001</v>
          </cell>
          <cell r="F249">
            <v>9.6799999999999997E-2</v>
          </cell>
          <cell r="G249">
            <v>0.188</v>
          </cell>
          <cell r="H249">
            <v>0.12640000000000001</v>
          </cell>
          <cell r="I249">
            <v>4.4499999999999998E-2</v>
          </cell>
          <cell r="J249">
            <v>0.22819999999999999</v>
          </cell>
        </row>
        <row r="250">
          <cell r="A250">
            <v>247</v>
          </cell>
          <cell r="B250" t="str">
            <v>Renal</v>
          </cell>
          <cell r="C250" t="str">
            <v>BCU ESA Contract Savings 2013/2014</v>
          </cell>
          <cell r="D250">
            <v>0.14960000000000001</v>
          </cell>
          <cell r="E250">
            <v>0.16650000000000001</v>
          </cell>
          <cell r="F250">
            <v>9.6799999999999997E-2</v>
          </cell>
          <cell r="G250">
            <v>0.188</v>
          </cell>
          <cell r="H250">
            <v>0.12640000000000001</v>
          </cell>
          <cell r="I250">
            <v>4.4499999999999998E-2</v>
          </cell>
          <cell r="J250">
            <v>0.22819999999999999</v>
          </cell>
        </row>
        <row r="251">
          <cell r="A251">
            <v>248</v>
          </cell>
          <cell r="B251" t="str">
            <v>Renal</v>
          </cell>
          <cell r="C251" t="str">
            <v>C&amp;V ESA Contract Savings 2013/14</v>
          </cell>
          <cell r="D251">
            <v>0.14960000000000001</v>
          </cell>
          <cell r="E251">
            <v>0.16650000000000001</v>
          </cell>
          <cell r="F251">
            <v>9.6799999999999997E-2</v>
          </cell>
          <cell r="G251">
            <v>0.188</v>
          </cell>
          <cell r="H251">
            <v>0.12640000000000001</v>
          </cell>
          <cell r="I251">
            <v>4.4499999999999998E-2</v>
          </cell>
          <cell r="J251">
            <v>0.22819999999999999</v>
          </cell>
        </row>
        <row r="252">
          <cell r="A252">
            <v>249</v>
          </cell>
          <cell r="B252" t="str">
            <v>Renal</v>
          </cell>
          <cell r="C252" t="str">
            <v>ABMU ESA Contract Savings 2013/14</v>
          </cell>
          <cell r="D252">
            <v>0.14960000000000001</v>
          </cell>
          <cell r="E252">
            <v>0.16650000000000001</v>
          </cell>
          <cell r="F252">
            <v>9.6799999999999997E-2</v>
          </cell>
          <cell r="G252">
            <v>0.188</v>
          </cell>
          <cell r="H252">
            <v>0.12640000000000001</v>
          </cell>
          <cell r="I252">
            <v>4.4499999999999998E-2</v>
          </cell>
          <cell r="J252">
            <v>0.22819999999999999</v>
          </cell>
        </row>
        <row r="253">
          <cell r="A253">
            <v>250</v>
          </cell>
          <cell r="B253" t="str">
            <v>Renal</v>
          </cell>
          <cell r="C253" t="str">
            <v>Aneurin Bevan Consultant Sessions</v>
          </cell>
          <cell r="D253">
            <v>0.14960000000000001</v>
          </cell>
          <cell r="E253">
            <v>0.16650000000000001</v>
          </cell>
          <cell r="F253">
            <v>9.6799999999999997E-2</v>
          </cell>
          <cell r="G253">
            <v>0.188</v>
          </cell>
          <cell r="H253">
            <v>0.12640000000000001</v>
          </cell>
          <cell r="I253">
            <v>4.4499999999999998E-2</v>
          </cell>
          <cell r="J253">
            <v>0.22819999999999999</v>
          </cell>
        </row>
        <row r="254">
          <cell r="A254">
            <v>251</v>
          </cell>
          <cell r="B254" t="str">
            <v>Renal</v>
          </cell>
          <cell r="C254" t="str">
            <v xml:space="preserve">ABMU Pharmacy Infrastructure </v>
          </cell>
          <cell r="D254">
            <v>0.14960000000000001</v>
          </cell>
          <cell r="E254">
            <v>0.16650000000000001</v>
          </cell>
          <cell r="F254">
            <v>9.6799999999999997E-2</v>
          </cell>
          <cell r="G254">
            <v>0.188</v>
          </cell>
          <cell r="H254">
            <v>0.12640000000000001</v>
          </cell>
          <cell r="I254">
            <v>4.4499999999999998E-2</v>
          </cell>
          <cell r="J254">
            <v>0.22819999999999999</v>
          </cell>
        </row>
        <row r="255">
          <cell r="A255">
            <v>252</v>
          </cell>
          <cell r="B255" t="str">
            <v>Renal</v>
          </cell>
          <cell r="C255" t="str">
            <v>BCU Pharmacy Infrastructure</v>
          </cell>
          <cell r="D255">
            <v>0.14960000000000001</v>
          </cell>
          <cell r="E255">
            <v>0.16650000000000001</v>
          </cell>
          <cell r="F255">
            <v>9.6799999999999997E-2</v>
          </cell>
          <cell r="G255">
            <v>0.188</v>
          </cell>
          <cell r="H255">
            <v>0.12640000000000001</v>
          </cell>
          <cell r="I255">
            <v>4.4499999999999998E-2</v>
          </cell>
          <cell r="J255">
            <v>0.22819999999999999</v>
          </cell>
        </row>
        <row r="256">
          <cell r="A256">
            <v>253</v>
          </cell>
          <cell r="B256" t="str">
            <v>Renal</v>
          </cell>
          <cell r="C256" t="str">
            <v>C&amp;V Pharmacy Infrastructure</v>
          </cell>
          <cell r="D256">
            <v>0.14960000000000001</v>
          </cell>
          <cell r="E256">
            <v>0.16650000000000001</v>
          </cell>
          <cell r="F256">
            <v>9.6799999999999997E-2</v>
          </cell>
          <cell r="G256">
            <v>0.188</v>
          </cell>
          <cell r="H256">
            <v>0.12640000000000001</v>
          </cell>
          <cell r="I256">
            <v>4.4499999999999998E-2</v>
          </cell>
          <cell r="J256">
            <v>0.22819999999999999</v>
          </cell>
        </row>
        <row r="257">
          <cell r="A257">
            <v>254</v>
          </cell>
          <cell r="B257" t="str">
            <v>Renal</v>
          </cell>
          <cell r="C257" t="str">
            <v>West Wales Fresenius Independent Units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1</v>
          </cell>
          <cell r="I257">
            <v>0</v>
          </cell>
          <cell r="J257">
            <v>0</v>
          </cell>
        </row>
        <row r="258">
          <cell r="A258">
            <v>255</v>
          </cell>
          <cell r="B258" t="str">
            <v>Renal</v>
          </cell>
          <cell r="C258" t="str">
            <v>Aberystwyth Development ( Padarn Surgery )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1</v>
          </cell>
          <cell r="I258">
            <v>0</v>
          </cell>
          <cell r="J258">
            <v>0</v>
          </cell>
        </row>
        <row r="259">
          <cell r="A259">
            <v>256</v>
          </cell>
          <cell r="B259" t="str">
            <v>Renal</v>
          </cell>
          <cell r="C259" t="str">
            <v xml:space="preserve">Hywel Dda LHB Support Costs 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1</v>
          </cell>
          <cell r="I259">
            <v>0</v>
          </cell>
          <cell r="J259">
            <v>0</v>
          </cell>
        </row>
        <row r="260">
          <cell r="A260">
            <v>257</v>
          </cell>
          <cell r="B260" t="str">
            <v>Renal</v>
          </cell>
          <cell r="C260" t="str">
            <v>WG required phasing adjustment for MMR purposes</v>
          </cell>
          <cell r="D260">
            <v>0.14960000000000001</v>
          </cell>
          <cell r="E260">
            <v>0.16650000000000001</v>
          </cell>
          <cell r="F260">
            <v>9.6799999999999997E-2</v>
          </cell>
          <cell r="G260">
            <v>0.188</v>
          </cell>
          <cell r="H260">
            <v>0.12640000000000001</v>
          </cell>
          <cell r="I260">
            <v>4.4499999999999998E-2</v>
          </cell>
          <cell r="J260">
            <v>0.22819999999999999</v>
          </cell>
        </row>
        <row r="261">
          <cell r="A261">
            <v>258</v>
          </cell>
          <cell r="B261" t="str">
            <v xml:space="preserve">Renal </v>
          </cell>
          <cell r="C261" t="str">
            <v xml:space="preserve">Renal General </v>
          </cell>
          <cell r="D261">
            <v>0.14960000000000001</v>
          </cell>
          <cell r="E261">
            <v>0.16650000000000001</v>
          </cell>
          <cell r="F261">
            <v>9.6799999999999997E-2</v>
          </cell>
          <cell r="G261">
            <v>0.188</v>
          </cell>
          <cell r="H261">
            <v>0.12640000000000001</v>
          </cell>
          <cell r="I261">
            <v>4.4499999999999998E-2</v>
          </cell>
          <cell r="J261">
            <v>0.22819999999999999</v>
          </cell>
        </row>
        <row r="262">
          <cell r="A262">
            <v>259</v>
          </cell>
          <cell r="B262" t="str">
            <v>Unallocated</v>
          </cell>
          <cell r="C262" t="str">
            <v>PIC Retrieval in North Wales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1</v>
          </cell>
        </row>
        <row r="263">
          <cell r="A263">
            <v>260</v>
          </cell>
          <cell r="B263" t="str">
            <v>Unallocated</v>
          </cell>
          <cell r="C263" t="str">
            <v>Ivacaftor - N Wales drugs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1</v>
          </cell>
        </row>
        <row r="264">
          <cell r="A264">
            <v>261</v>
          </cell>
          <cell r="B264" t="str">
            <v>Unallocated</v>
          </cell>
          <cell r="C264" t="str">
            <v>Ivacaftor - C&amp;V drugs</v>
          </cell>
          <cell r="D264">
            <v>0.39985211961879724</v>
          </cell>
          <cell r="E264">
            <v>0.39985211961879724</v>
          </cell>
          <cell r="F264">
            <v>0.10014788038120276</v>
          </cell>
          <cell r="G264">
            <v>0.10014788038120276</v>
          </cell>
          <cell r="H264">
            <v>0</v>
          </cell>
          <cell r="I264">
            <v>0</v>
          </cell>
          <cell r="J264">
            <v>0</v>
          </cell>
        </row>
        <row r="265">
          <cell r="A265">
            <v>262</v>
          </cell>
          <cell r="B265" t="str">
            <v>15/16 Developments</v>
          </cell>
          <cell r="C265" t="str">
            <v>Planned Commissioned Growth in Bariatric Surgery (Salford) - JC agreed</v>
          </cell>
          <cell r="D265">
            <v>1.2647959448820829E-3</v>
          </cell>
          <cell r="E265">
            <v>6.9464431955842674E-5</v>
          </cell>
          <cell r="F265">
            <v>1.4749458686057215E-2</v>
          </cell>
          <cell r="G265">
            <v>1.386240183041894E-2</v>
          </cell>
          <cell r="H265">
            <v>7.9403683513681583E-3</v>
          </cell>
          <cell r="I265">
            <v>7.7753304073226604E-3</v>
          </cell>
          <cell r="J265">
            <v>0.95433818034799522</v>
          </cell>
        </row>
        <row r="266">
          <cell r="A266">
            <v>263</v>
          </cell>
          <cell r="B266" t="str">
            <v>15/16 Developments</v>
          </cell>
          <cell r="C266" t="str">
            <v>68-Gallium DOTA scanning</v>
          </cell>
          <cell r="D266">
            <v>0.18839634941329855</v>
          </cell>
          <cell r="E266">
            <v>0.18904823989569752</v>
          </cell>
          <cell r="F266">
            <v>0.14211212516297261</v>
          </cell>
          <cell r="G266">
            <v>0.28031290743155152</v>
          </cell>
          <cell r="H266">
            <v>0.15971316818774445</v>
          </cell>
          <cell r="I266">
            <v>3.5202086049543675E-2</v>
          </cell>
          <cell r="J266">
            <v>5.2151238591916557E-3</v>
          </cell>
        </row>
        <row r="267">
          <cell r="A267">
            <v>264</v>
          </cell>
          <cell r="B267" t="str">
            <v>15/16 Developments</v>
          </cell>
          <cell r="C267" t="str">
            <v>Paediatric surgery RTT</v>
          </cell>
          <cell r="D267">
            <v>0.51347947139846928</v>
          </cell>
          <cell r="E267">
            <v>0.12386652900174584</v>
          </cell>
          <cell r="F267">
            <v>8.0846711915251571E-2</v>
          </cell>
          <cell r="G267">
            <v>0.19103896441871704</v>
          </cell>
          <cell r="H267">
            <v>7.6859687097280693E-2</v>
          </cell>
          <cell r="I267">
            <v>1.2578751145074478E-2</v>
          </cell>
          <cell r="J267">
            <v>1.329885023461066E-3</v>
          </cell>
        </row>
        <row r="268">
          <cell r="A268">
            <v>265</v>
          </cell>
          <cell r="B268" t="str">
            <v>15/16 Developments</v>
          </cell>
          <cell r="C268" t="str">
            <v>Hepatology</v>
          </cell>
          <cell r="D268">
            <v>0.12380952380952383</v>
          </cell>
          <cell r="E268">
            <v>0.22857142857142856</v>
          </cell>
          <cell r="F268">
            <v>0.13333333333333336</v>
          </cell>
          <cell r="G268">
            <v>0.31428571428571428</v>
          </cell>
          <cell r="H268">
            <v>0.17142857142857143</v>
          </cell>
          <cell r="I268">
            <v>2.8571428571428571E-2</v>
          </cell>
          <cell r="J268">
            <v>0</v>
          </cell>
        </row>
        <row r="269">
          <cell r="A269">
            <v>266</v>
          </cell>
          <cell r="B269" t="str">
            <v>15/16 Developments</v>
          </cell>
          <cell r="C269" t="str">
            <v>Radio Labelled Therapies</v>
          </cell>
          <cell r="D269">
            <v>0.14960000000000001</v>
          </cell>
          <cell r="E269">
            <v>0.16650000000000001</v>
          </cell>
          <cell r="F269">
            <v>9.6799999999999997E-2</v>
          </cell>
          <cell r="G269">
            <v>0.188</v>
          </cell>
          <cell r="H269">
            <v>0.12640000000000001</v>
          </cell>
          <cell r="I269">
            <v>4.4499999999999998E-2</v>
          </cell>
          <cell r="J269">
            <v>0.22819999999999999</v>
          </cell>
        </row>
        <row r="270">
          <cell r="A270">
            <v>267</v>
          </cell>
          <cell r="B270" t="str">
            <v>15/16 Developments</v>
          </cell>
          <cell r="C270" t="str">
            <v>NWIS data validation</v>
          </cell>
          <cell r="D270">
            <v>0.14960000000000001</v>
          </cell>
          <cell r="E270">
            <v>0.16650000000000001</v>
          </cell>
          <cell r="F270">
            <v>9.6799999999999997E-2</v>
          </cell>
          <cell r="G270">
            <v>0.188</v>
          </cell>
          <cell r="H270">
            <v>0.12640000000000001</v>
          </cell>
          <cell r="I270">
            <v>4.4499999999999998E-2</v>
          </cell>
          <cell r="J270">
            <v>0.22819999999999999</v>
          </cell>
        </row>
        <row r="271">
          <cell r="A271">
            <v>268</v>
          </cell>
          <cell r="B271" t="str">
            <v>15/16 Developments</v>
          </cell>
          <cell r="C271" t="str">
            <v>Flow Diversion - PEDS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1</v>
          </cell>
        </row>
        <row r="272">
          <cell r="A272">
            <v>269</v>
          </cell>
          <cell r="B272" t="str">
            <v>16/17 Developments</v>
          </cell>
          <cell r="C272" t="str">
            <v>Bariatrics Stage 2 - (agreed as 2015/16 development)</v>
          </cell>
          <cell r="D272">
            <v>0.14960000000000001</v>
          </cell>
          <cell r="E272">
            <v>0.16650000000000001</v>
          </cell>
          <cell r="F272">
            <v>9.6799999999999997E-2</v>
          </cell>
          <cell r="G272">
            <v>0.188</v>
          </cell>
          <cell r="H272">
            <v>0.12640000000000001</v>
          </cell>
          <cell r="I272">
            <v>4.4499999999999998E-2</v>
          </cell>
          <cell r="J272">
            <v>0.22819999999999999</v>
          </cell>
        </row>
        <row r="273">
          <cell r="A273">
            <v>270</v>
          </cell>
          <cell r="B273" t="str">
            <v>16/17 Developments</v>
          </cell>
          <cell r="C273" t="str">
            <v>Prosthetics service sustainability for war veterans</v>
          </cell>
          <cell r="D273">
            <v>0.29428615150056037</v>
          </cell>
          <cell r="E273">
            <v>0.12988015949118961</v>
          </cell>
          <cell r="F273">
            <v>0.23106595685490403</v>
          </cell>
          <cell r="G273">
            <v>0.18335471860688402</v>
          </cell>
          <cell r="H273">
            <v>0.1236734372816341</v>
          </cell>
          <cell r="I273">
            <v>1.9089836070080905E-2</v>
          </cell>
          <cell r="J273">
            <v>1.8649740194746956E-2</v>
          </cell>
        </row>
        <row r="274">
          <cell r="A274">
            <v>271</v>
          </cell>
          <cell r="B274" t="str">
            <v>16/17 Developments</v>
          </cell>
          <cell r="C274" t="str">
            <v>Cystic fibrosis - Ivacaftor NONG551D (AWMSG)</v>
          </cell>
          <cell r="D274">
            <v>0.14960000000000001</v>
          </cell>
          <cell r="E274">
            <v>0.16650000000000001</v>
          </cell>
          <cell r="F274">
            <v>9.6799999999999997E-2</v>
          </cell>
          <cell r="G274">
            <v>0.188</v>
          </cell>
          <cell r="H274">
            <v>0.12640000000000001</v>
          </cell>
          <cell r="I274">
            <v>4.4499999999999998E-2</v>
          </cell>
          <cell r="J274">
            <v>0.22819999999999999</v>
          </cell>
        </row>
        <row r="275">
          <cell r="A275">
            <v>272</v>
          </cell>
          <cell r="B275" t="str">
            <v>16/17 Developments</v>
          </cell>
          <cell r="C275" t="str">
            <v>Melignant Melanoma treatments</v>
          </cell>
          <cell r="D275">
            <v>0.28689999999999999</v>
          </cell>
          <cell r="E275">
            <v>9.8599999999999993E-2</v>
          </cell>
          <cell r="F275">
            <v>0.1855</v>
          </cell>
          <cell r="G275">
            <v>0.39250000000000002</v>
          </cell>
          <cell r="H275">
            <v>1.5100000000000001E-2</v>
          </cell>
          <cell r="I275">
            <v>2.1399999999999999E-2</v>
          </cell>
          <cell r="J275">
            <v>0</v>
          </cell>
        </row>
        <row r="276">
          <cell r="A276">
            <v>273</v>
          </cell>
          <cell r="B276" t="str">
            <v>16/17 Developments</v>
          </cell>
          <cell r="C276" t="str">
            <v xml:space="preserve">Susoctocog - Haemophilia </v>
          </cell>
          <cell r="D276">
            <v>0.14960000000000001</v>
          </cell>
          <cell r="E276">
            <v>0.16650000000000001</v>
          </cell>
          <cell r="F276">
            <v>9.6799999999999997E-2</v>
          </cell>
          <cell r="G276">
            <v>0.188</v>
          </cell>
          <cell r="H276">
            <v>0.12640000000000001</v>
          </cell>
          <cell r="I276">
            <v>4.4499999999999998E-2</v>
          </cell>
          <cell r="J276">
            <v>0.22819999999999999</v>
          </cell>
        </row>
        <row r="277">
          <cell r="A277">
            <v>274</v>
          </cell>
          <cell r="B277" t="str">
            <v>16/17 Developments</v>
          </cell>
          <cell r="C277" t="str">
            <v>Elosulfase Alfa - VIMZIM ERT (Ministerial ratification)</v>
          </cell>
          <cell r="D277">
            <v>0.14960000000000001</v>
          </cell>
          <cell r="E277">
            <v>0.16650000000000001</v>
          </cell>
          <cell r="F277">
            <v>9.6799999999999997E-2</v>
          </cell>
          <cell r="G277">
            <v>0.188</v>
          </cell>
          <cell r="H277">
            <v>0.12640000000000001</v>
          </cell>
          <cell r="I277">
            <v>4.4499999999999998E-2</v>
          </cell>
          <cell r="J277">
            <v>0.22819999999999999</v>
          </cell>
        </row>
        <row r="278">
          <cell r="A278">
            <v>275</v>
          </cell>
          <cell r="B278" t="str">
            <v>16/17 Developments</v>
          </cell>
          <cell r="C278" t="str">
            <v>Ataluren NS Duchene Muscular Dystrophy</v>
          </cell>
          <cell r="D278">
            <v>0.14960000000000001</v>
          </cell>
          <cell r="E278">
            <v>0.16650000000000001</v>
          </cell>
          <cell r="F278">
            <v>9.6799999999999997E-2</v>
          </cell>
          <cell r="G278">
            <v>0.188</v>
          </cell>
          <cell r="H278">
            <v>0.12640000000000001</v>
          </cell>
          <cell r="I278">
            <v>4.4499999999999998E-2</v>
          </cell>
          <cell r="J278">
            <v>0.22819999999999999</v>
          </cell>
        </row>
        <row r="279">
          <cell r="A279">
            <v>276</v>
          </cell>
          <cell r="B279" t="str">
            <v>16/17 Developments</v>
          </cell>
          <cell r="C279" t="str">
            <v>Asfotase Alfa - HPP ERT</v>
          </cell>
          <cell r="D279">
            <v>0.14960000000000001</v>
          </cell>
          <cell r="E279">
            <v>0.16650000000000001</v>
          </cell>
          <cell r="F279">
            <v>9.6799999999999997E-2</v>
          </cell>
          <cell r="G279">
            <v>0.188</v>
          </cell>
          <cell r="H279">
            <v>0.12640000000000001</v>
          </cell>
          <cell r="I279">
            <v>4.4499999999999998E-2</v>
          </cell>
          <cell r="J279">
            <v>0.22819999999999999</v>
          </cell>
        </row>
        <row r="280">
          <cell r="A280">
            <v>277</v>
          </cell>
          <cell r="B280" t="str">
            <v>16/17 Developments</v>
          </cell>
          <cell r="C280" t="str">
            <v xml:space="preserve">Thoracic surgery infrastructure
</v>
          </cell>
          <cell r="D280">
            <v>0.20459924531112836</v>
          </cell>
          <cell r="E280">
            <v>0.22434215911349825</v>
          </cell>
          <cell r="F280">
            <v>0.12698486941058826</v>
          </cell>
          <cell r="G280">
            <v>0.2497818348909131</v>
          </cell>
          <cell r="H280">
            <v>0.16549712844912001</v>
          </cell>
          <cell r="I280">
            <v>2.8794762824752029E-2</v>
          </cell>
          <cell r="J280">
            <v>0</v>
          </cell>
        </row>
        <row r="281">
          <cell r="A281">
            <v>278</v>
          </cell>
          <cell r="B281" t="str">
            <v>16/17 Developments</v>
          </cell>
          <cell r="C281" t="str">
            <v>Growth in marginal activity associated with Thoracic surgery investment</v>
          </cell>
          <cell r="D281">
            <v>0.20459924531112836</v>
          </cell>
          <cell r="E281">
            <v>0.22434215911349825</v>
          </cell>
          <cell r="F281">
            <v>0.12698486941058826</v>
          </cell>
          <cell r="G281">
            <v>0.2497818348909131</v>
          </cell>
          <cell r="H281">
            <v>0.16549712844912001</v>
          </cell>
          <cell r="I281">
            <v>2.8794762824752029E-2</v>
          </cell>
          <cell r="J281">
            <v>0</v>
          </cell>
        </row>
        <row r="282">
          <cell r="A282">
            <v>279</v>
          </cell>
          <cell r="B282" t="str">
            <v>16/17 Developments</v>
          </cell>
          <cell r="C282" t="str">
            <v xml:space="preserve">Neuroendocrine Tumours (NETs) 
 </v>
          </cell>
          <cell r="D282">
            <v>0.20459924531112836</v>
          </cell>
          <cell r="E282">
            <v>0.22434215911349825</v>
          </cell>
          <cell r="F282">
            <v>0.12698486941058826</v>
          </cell>
          <cell r="G282">
            <v>0.2497818348909131</v>
          </cell>
          <cell r="H282">
            <v>0.16549712844912001</v>
          </cell>
          <cell r="I282">
            <v>2.8794762824752029E-2</v>
          </cell>
          <cell r="J282">
            <v>0</v>
          </cell>
        </row>
        <row r="283">
          <cell r="A283">
            <v>280</v>
          </cell>
          <cell r="B283" t="str">
            <v>16/17 Developments</v>
          </cell>
          <cell r="C283" t="str">
            <v xml:space="preserve">Fetal cardiology 
 </v>
          </cell>
          <cell r="D283">
            <v>0.59433174941701272</v>
          </cell>
          <cell r="E283">
            <v>3.8701747515945711E-2</v>
          </cell>
          <cell r="F283">
            <v>0.11841574525551953</v>
          </cell>
          <cell r="G283">
            <v>0.21693341318555845</v>
          </cell>
          <cell r="H283">
            <v>2.2494752807341974E-2</v>
          </cell>
          <cell r="I283">
            <v>8.8830693302861339E-3</v>
          </cell>
          <cell r="J283">
            <v>2.3952248833551473E-4</v>
          </cell>
        </row>
        <row r="284">
          <cell r="A284">
            <v>281</v>
          </cell>
          <cell r="B284" t="str">
            <v>16/17 Developments</v>
          </cell>
          <cell r="C284" t="str">
            <v xml:space="preserve">Paediatric surgery 
</v>
          </cell>
          <cell r="D284">
            <v>0.51501525209155152</v>
          </cell>
          <cell r="E284">
            <v>0.11506569648581859</v>
          </cell>
          <cell r="F284">
            <v>8.5285044798503462E-2</v>
          </cell>
          <cell r="G284">
            <v>0.18745634470412967</v>
          </cell>
          <cell r="H284">
            <v>8.5420141538551403E-2</v>
          </cell>
          <cell r="I284">
            <v>1.0229361465991184E-2</v>
          </cell>
          <cell r="J284">
            <v>1.5281589154542844E-3</v>
          </cell>
        </row>
        <row r="285">
          <cell r="A285">
            <v>282</v>
          </cell>
          <cell r="B285" t="str">
            <v>16/17 Developments</v>
          </cell>
          <cell r="C285" t="str">
            <v>BAHA &amp; Cochlears growth North Wales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1</v>
          </cell>
        </row>
        <row r="286">
          <cell r="A286">
            <v>283</v>
          </cell>
          <cell r="B286" t="str">
            <v>16/17 Developments</v>
          </cell>
          <cell r="C286" t="str">
            <v>BAHA &amp; Cochlears growth South Wales</v>
          </cell>
          <cell r="D286">
            <v>0.41971830985915493</v>
          </cell>
          <cell r="E286">
            <v>1.4084507042253521E-2</v>
          </cell>
          <cell r="F286">
            <v>0.11549295774647887</v>
          </cell>
          <cell r="G286">
            <v>0.30985915492957744</v>
          </cell>
          <cell r="H286">
            <v>9.014084507042254E-2</v>
          </cell>
          <cell r="I286">
            <v>5.0704225352112678E-2</v>
          </cell>
          <cell r="J286">
            <v>0</v>
          </cell>
        </row>
        <row r="287">
          <cell r="A287">
            <v>284</v>
          </cell>
          <cell r="B287" t="str">
            <v>16/17 Developments</v>
          </cell>
          <cell r="C287" t="str">
            <v>Posture and Mobility - ALAS (Wheelchairs)</v>
          </cell>
          <cell r="D287">
            <v>0.29428615150056037</v>
          </cell>
          <cell r="E287">
            <v>0.12988015949118961</v>
          </cell>
          <cell r="F287">
            <v>0.23106595685490403</v>
          </cell>
          <cell r="G287">
            <v>0.18335471860688402</v>
          </cell>
          <cell r="H287">
            <v>0.1236734372816341</v>
          </cell>
          <cell r="I287">
            <v>1.9089836070080905E-2</v>
          </cell>
          <cell r="J287">
            <v>1.8649740194746956E-2</v>
          </cell>
        </row>
        <row r="288">
          <cell r="A288">
            <v>285</v>
          </cell>
          <cell r="B288" t="str">
            <v>16/17 Developments</v>
          </cell>
          <cell r="C288" t="str">
            <v xml:space="preserve">BMT Phase 3 
 </v>
          </cell>
          <cell r="D288">
            <v>0.27021404725074866</v>
          </cell>
          <cell r="E288">
            <v>0.15841033776948113</v>
          </cell>
          <cell r="F288">
            <v>0.1746353732884886</v>
          </cell>
          <cell r="G288">
            <v>0.28921319812865792</v>
          </cell>
          <cell r="H288">
            <v>9.8381127668259211E-2</v>
          </cell>
          <cell r="I288">
            <v>9.1459158943642642E-3</v>
          </cell>
          <cell r="J288">
            <v>0</v>
          </cell>
        </row>
        <row r="289">
          <cell r="A289">
            <v>286</v>
          </cell>
          <cell r="B289" t="str">
            <v>16/17 Developments</v>
          </cell>
          <cell r="C289" t="str">
            <v>Growth in marginal activity associated with BMT investment</v>
          </cell>
          <cell r="D289">
            <v>0.27021404725074866</v>
          </cell>
          <cell r="E289">
            <v>0.15841033776948113</v>
          </cell>
          <cell r="F289">
            <v>0.1746353732884886</v>
          </cell>
          <cell r="G289">
            <v>0.28921319812865792</v>
          </cell>
          <cell r="H289">
            <v>9.8381127668259211E-2</v>
          </cell>
          <cell r="I289">
            <v>9.1459158943642642E-3</v>
          </cell>
          <cell r="J289">
            <v>0</v>
          </cell>
        </row>
        <row r="290">
          <cell r="A290">
            <v>287</v>
          </cell>
          <cell r="B290" t="str">
            <v>16/17 Developments</v>
          </cell>
          <cell r="C290" t="str">
            <v>Clinical Immunology non pay growth</v>
          </cell>
          <cell r="D290">
            <v>0.20294520655559845</v>
          </cell>
          <cell r="E290">
            <v>0.21789575179423906</v>
          </cell>
          <cell r="F290">
            <v>0.12212981699133454</v>
          </cell>
          <cell r="G290">
            <v>0.24119047008691896</v>
          </cell>
          <cell r="H290">
            <v>0.16030933930489616</v>
          </cell>
          <cell r="I290">
            <v>5.5529415267012702E-2</v>
          </cell>
          <cell r="J290">
            <v>0</v>
          </cell>
        </row>
        <row r="291">
          <cell r="A291">
            <v>288</v>
          </cell>
          <cell r="B291" t="str">
            <v>16/17 Developments</v>
          </cell>
          <cell r="C291" t="str">
            <v>PET CT new indications</v>
          </cell>
          <cell r="D291">
            <v>0.16368563685636855</v>
          </cell>
          <cell r="E291">
            <v>0.22330623306233063</v>
          </cell>
          <cell r="F291">
            <v>0.15121951219512195</v>
          </cell>
          <cell r="G291">
            <v>0.23035230352303523</v>
          </cell>
          <cell r="H291">
            <v>0.17994579945799458</v>
          </cell>
          <cell r="I291">
            <v>4.8238482384823846E-2</v>
          </cell>
          <cell r="J291">
            <v>3.2520325203252032E-3</v>
          </cell>
        </row>
        <row r="292">
          <cell r="A292">
            <v>289</v>
          </cell>
          <cell r="B292" t="str">
            <v>16/17 Developments</v>
          </cell>
          <cell r="C292" t="str">
            <v xml:space="preserve">Paediatric Cardiology RTT
</v>
          </cell>
          <cell r="D292">
            <v>0.59433174941701272</v>
          </cell>
          <cell r="E292">
            <v>3.8701747515945711E-2</v>
          </cell>
          <cell r="F292">
            <v>0.11841574525551953</v>
          </cell>
          <cell r="G292">
            <v>0.21693341318555845</v>
          </cell>
          <cell r="H292">
            <v>2.2494752807341974E-2</v>
          </cell>
          <cell r="I292">
            <v>8.8830693302861339E-3</v>
          </cell>
          <cell r="J292">
            <v>2.3952248833551473E-4</v>
          </cell>
        </row>
        <row r="293">
          <cell r="A293">
            <v>290</v>
          </cell>
          <cell r="B293" t="str">
            <v>16/17 Developments</v>
          </cell>
          <cell r="C293" t="str">
            <v xml:space="preserve">Liver ablation 
 </v>
          </cell>
          <cell r="D293">
            <v>0.1</v>
          </cell>
          <cell r="E293">
            <v>0.15</v>
          </cell>
          <cell r="F293">
            <v>0.2</v>
          </cell>
          <cell r="G293">
            <v>0.35</v>
          </cell>
          <cell r="H293">
            <v>0.15</v>
          </cell>
          <cell r="I293">
            <v>0.05</v>
          </cell>
          <cell r="J293">
            <v>0</v>
          </cell>
        </row>
        <row r="294">
          <cell r="A294">
            <v>291</v>
          </cell>
          <cell r="B294" t="str">
            <v>16/17 Developments</v>
          </cell>
          <cell r="C294" t="str">
            <v xml:space="preserve">Cardiac ablation (AF and VT) - Expansion of EP services 
 </v>
          </cell>
          <cell r="D294">
            <v>1.2044008652038625E-2</v>
          </cell>
          <cell r="E294">
            <v>0.51791059653240468</v>
          </cell>
          <cell r="F294">
            <v>8.5338408063339814E-3</v>
          </cell>
          <cell r="G294">
            <v>3.5704622157159021E-3</v>
          </cell>
          <cell r="H294">
            <v>0.42498343942629585</v>
          </cell>
          <cell r="I294">
            <v>2.8185102774921568E-2</v>
          </cell>
          <cell r="J294">
            <v>4.7725495922893348E-3</v>
          </cell>
        </row>
        <row r="295">
          <cell r="A295">
            <v>292</v>
          </cell>
          <cell r="B295" t="str">
            <v>16/17 Developments</v>
          </cell>
          <cell r="C295" t="str">
            <v xml:space="preserve">Cardiac ablation (AF)  </v>
          </cell>
          <cell r="D295">
            <v>0.38732011488896956</v>
          </cell>
          <cell r="E295">
            <v>4.5075396824899522E-3</v>
          </cell>
          <cell r="F295">
            <v>2.4427199529548617E-2</v>
          </cell>
          <cell r="G295">
            <v>0.54691930631492469</v>
          </cell>
          <cell r="H295">
            <v>9.0144663444872498E-4</v>
          </cell>
          <cell r="I295">
            <v>3.5030096629784686E-2</v>
          </cell>
          <cell r="J295">
            <v>9.0731735884080845E-4</v>
          </cell>
        </row>
        <row r="296">
          <cell r="A296">
            <v>293</v>
          </cell>
          <cell r="B296" t="str">
            <v>16/17 Developments</v>
          </cell>
          <cell r="C296" t="str">
            <v xml:space="preserve">Genetics - UKGTN
 </v>
          </cell>
          <cell r="D296">
            <v>0.20843030773209206</v>
          </cell>
          <cell r="E296">
            <v>0.14546159813809156</v>
          </cell>
          <cell r="F296">
            <v>9.7362296353762617E-2</v>
          </cell>
          <cell r="G296">
            <v>0.18774243599689686</v>
          </cell>
          <cell r="H296">
            <v>2.9092319627618313E-2</v>
          </cell>
          <cell r="I296">
            <v>0.10796483061805018</v>
          </cell>
          <cell r="J296">
            <v>0.22394621153348851</v>
          </cell>
        </row>
        <row r="297">
          <cell r="A297">
            <v>294</v>
          </cell>
          <cell r="B297" t="str">
            <v>16/17 Developments</v>
          </cell>
          <cell r="C297" t="str">
            <v xml:space="preserve">Genetics - Stratified Medicine
 </v>
          </cell>
          <cell r="D297">
            <v>0.20843030773209206</v>
          </cell>
          <cell r="E297">
            <v>0.14546159813809156</v>
          </cell>
          <cell r="F297">
            <v>9.7362296353762617E-2</v>
          </cell>
          <cell r="G297">
            <v>0.18774243599689686</v>
          </cell>
          <cell r="H297">
            <v>2.9092319627618313E-2</v>
          </cell>
          <cell r="I297">
            <v>0.10796483061805018</v>
          </cell>
          <cell r="J297">
            <v>0.22394621153348851</v>
          </cell>
        </row>
        <row r="298">
          <cell r="A298">
            <v>295</v>
          </cell>
          <cell r="B298" t="str">
            <v>16/17 Developments</v>
          </cell>
          <cell r="C298" t="str">
            <v>LVA evaluation</v>
          </cell>
          <cell r="D298">
            <v>7.2742478801356453E-2</v>
          </cell>
          <cell r="E298">
            <v>0.44500211516812055</v>
          </cell>
          <cell r="F298">
            <v>9.2035215938587531E-2</v>
          </cell>
          <cell r="G298">
            <v>0.14570279927466112</v>
          </cell>
          <cell r="H298">
            <v>0.21402882544966248</v>
          </cell>
          <cell r="I298">
            <v>2.7411271028188321E-2</v>
          </cell>
          <cell r="J298">
            <v>3.077294339423527E-3</v>
          </cell>
        </row>
        <row r="299">
          <cell r="A299">
            <v>296</v>
          </cell>
          <cell r="B299" t="str">
            <v>16/17 Developments</v>
          </cell>
          <cell r="C299" t="str">
            <v xml:space="preserve">Endobronchial Valve Replacement (EBVR) NICE IPG465
</v>
          </cell>
          <cell r="D299">
            <v>0.14960000000000001</v>
          </cell>
          <cell r="E299">
            <v>0.16650000000000001</v>
          </cell>
          <cell r="F299">
            <v>9.6799999999999997E-2</v>
          </cell>
          <cell r="G299">
            <v>0.188</v>
          </cell>
          <cell r="H299">
            <v>0.12640000000000001</v>
          </cell>
          <cell r="I299">
            <v>4.4499999999999998E-2</v>
          </cell>
          <cell r="J299">
            <v>0.22819999999999999</v>
          </cell>
        </row>
        <row r="300">
          <cell r="A300">
            <v>297</v>
          </cell>
          <cell r="B300" t="str">
            <v>16/17 Developments</v>
          </cell>
          <cell r="C300" t="str">
            <v xml:space="preserve">Neurovascular 
 </v>
          </cell>
          <cell r="D300">
            <v>0.22161850358259935</v>
          </cell>
          <cell r="E300">
            <v>0.22500303428221191</v>
          </cell>
          <cell r="F300">
            <v>0.1583802481051933</v>
          </cell>
          <cell r="G300">
            <v>0.23345481406370083</v>
          </cell>
          <cell r="H300">
            <v>0.14178856467285</v>
          </cell>
          <cell r="I300">
            <v>1.6553824440998871E-2</v>
          </cell>
          <cell r="J300">
            <v>3.2010108524458251E-3</v>
          </cell>
        </row>
        <row r="301">
          <cell r="A301">
            <v>298</v>
          </cell>
          <cell r="B301" t="str">
            <v>16/17 Developments</v>
          </cell>
          <cell r="C301" t="str">
            <v xml:space="preserve">Neuropathology
 </v>
          </cell>
          <cell r="D301">
            <v>0.20459924531112836</v>
          </cell>
          <cell r="E301">
            <v>0.22434215911349825</v>
          </cell>
          <cell r="F301">
            <v>0.12698486941058826</v>
          </cell>
          <cell r="G301">
            <v>0.2497818348909131</v>
          </cell>
          <cell r="H301">
            <v>0.16549712844912001</v>
          </cell>
          <cell r="I301">
            <v>2.8794762824752029E-2</v>
          </cell>
          <cell r="J301">
            <v>0</v>
          </cell>
        </row>
        <row r="302">
          <cell r="A302">
            <v>299</v>
          </cell>
          <cell r="B302" t="str">
            <v>16/17 Developments</v>
          </cell>
          <cell r="C302" t="str">
            <v xml:space="preserve">Neurosurgery 
</v>
          </cell>
          <cell r="D302">
            <v>0.22161850358259935</v>
          </cell>
          <cell r="E302">
            <v>0.22500303428221191</v>
          </cell>
          <cell r="F302">
            <v>0.1583802481051933</v>
          </cell>
          <cell r="G302">
            <v>0.23345481406370083</v>
          </cell>
          <cell r="H302">
            <v>0.14178856467285</v>
          </cell>
          <cell r="I302">
            <v>1.6553824440998871E-2</v>
          </cell>
          <cell r="J302">
            <v>3.2010108524458251E-3</v>
          </cell>
        </row>
        <row r="303">
          <cell r="A303">
            <v>300</v>
          </cell>
          <cell r="B303" t="str">
            <v>16/17 Developments</v>
          </cell>
          <cell r="C303" t="str">
            <v xml:space="preserve">Interventional neuroradiology 
 </v>
          </cell>
          <cell r="D303">
            <v>0.22161850358259935</v>
          </cell>
          <cell r="E303">
            <v>0.22500303428221191</v>
          </cell>
          <cell r="F303">
            <v>0.1583802481051933</v>
          </cell>
          <cell r="G303">
            <v>0.23345481406370083</v>
          </cell>
          <cell r="H303">
            <v>0.14178856467285</v>
          </cell>
          <cell r="I303">
            <v>1.6553824440998871E-2</v>
          </cell>
          <cell r="J303">
            <v>3.2010108524458251E-3</v>
          </cell>
        </row>
        <row r="304">
          <cell r="A304">
            <v>301</v>
          </cell>
          <cell r="B304" t="str">
            <v>16/17 Developments</v>
          </cell>
          <cell r="C304" t="str">
            <v xml:space="preserve">NICU
 </v>
          </cell>
          <cell r="D304">
            <v>0.61457348492659947</v>
          </cell>
          <cell r="E304">
            <v>8.96696800803191E-2</v>
          </cell>
          <cell r="F304">
            <v>8.8622313877658329E-2</v>
          </cell>
          <cell r="G304">
            <v>0.10959627565372335</v>
          </cell>
          <cell r="H304">
            <v>9.753824546169966E-2</v>
          </cell>
          <cell r="I304">
            <v>0</v>
          </cell>
          <cell r="J304">
            <v>0</v>
          </cell>
        </row>
        <row r="305">
          <cell r="A305">
            <v>302</v>
          </cell>
          <cell r="B305" t="str">
            <v>16/17 Developments</v>
          </cell>
          <cell r="C305" t="str">
            <v>Fetal Medicine</v>
          </cell>
          <cell r="D305">
            <v>0.14960000000000001</v>
          </cell>
          <cell r="E305">
            <v>0.16650000000000001</v>
          </cell>
          <cell r="F305">
            <v>9.6799999999999997E-2</v>
          </cell>
          <cell r="G305">
            <v>0.188</v>
          </cell>
          <cell r="H305">
            <v>0.12640000000000001</v>
          </cell>
          <cell r="I305">
            <v>4.4499999999999998E-2</v>
          </cell>
          <cell r="J305">
            <v>0.22819999999999999</v>
          </cell>
        </row>
        <row r="306">
          <cell r="A306">
            <v>303</v>
          </cell>
          <cell r="B306" t="str">
            <v>16/17 Developments</v>
          </cell>
          <cell r="C306" t="str">
            <v>Proton Beam Therapy - Child</v>
          </cell>
          <cell r="D306">
            <v>0.14960000000000001</v>
          </cell>
          <cell r="E306">
            <v>0.16650000000000001</v>
          </cell>
          <cell r="F306">
            <v>9.6799999999999997E-2</v>
          </cell>
          <cell r="G306">
            <v>0.188</v>
          </cell>
          <cell r="H306">
            <v>0.12640000000000001</v>
          </cell>
          <cell r="I306">
            <v>4.4499999999999998E-2</v>
          </cell>
          <cell r="J306">
            <v>0.22819999999999999</v>
          </cell>
        </row>
        <row r="307">
          <cell r="A307">
            <v>304</v>
          </cell>
          <cell r="B307" t="str">
            <v>16/17 Developments</v>
          </cell>
          <cell r="C307" t="str">
            <v>Proton Beam Therapy - TYP</v>
          </cell>
          <cell r="D307">
            <v>0.14960000000000001</v>
          </cell>
          <cell r="E307">
            <v>0.16650000000000001</v>
          </cell>
          <cell r="F307">
            <v>9.6799999999999997E-2</v>
          </cell>
          <cell r="G307">
            <v>0.188</v>
          </cell>
          <cell r="H307">
            <v>0.12640000000000001</v>
          </cell>
          <cell r="I307">
            <v>4.4499999999999998E-2</v>
          </cell>
          <cell r="J307">
            <v>0.22819999999999999</v>
          </cell>
        </row>
        <row r="308">
          <cell r="A308">
            <v>305</v>
          </cell>
          <cell r="B308" t="str">
            <v>16/17 Developments</v>
          </cell>
          <cell r="C308" t="str">
            <v xml:space="preserve">Paedriatric Cardiology Standards
</v>
          </cell>
          <cell r="D308">
            <v>0.59433174941701272</v>
          </cell>
          <cell r="E308">
            <v>3.8701747515945711E-2</v>
          </cell>
          <cell r="F308">
            <v>0.11841574525551953</v>
          </cell>
          <cell r="G308">
            <v>0.21693341318555845</v>
          </cell>
          <cell r="H308">
            <v>2.2494752807341974E-2</v>
          </cell>
          <cell r="I308">
            <v>8.8830693302861339E-3</v>
          </cell>
          <cell r="J308">
            <v>2.3952248833551473E-4</v>
          </cell>
        </row>
        <row r="309">
          <cell r="A309">
            <v>306</v>
          </cell>
          <cell r="B309" t="str">
            <v>16/17 Developments</v>
          </cell>
          <cell r="C309" t="str">
            <v xml:space="preserve">Clinical Immunology (infrastructure)
 </v>
          </cell>
          <cell r="D309">
            <v>0.20294520655559845</v>
          </cell>
          <cell r="E309">
            <v>0.21789575179423906</v>
          </cell>
          <cell r="F309">
            <v>0.12212981699133454</v>
          </cell>
          <cell r="G309">
            <v>0.24119047008691896</v>
          </cell>
          <cell r="H309">
            <v>0.16030933930489616</v>
          </cell>
          <cell r="I309">
            <v>5.5529415267012702E-2</v>
          </cell>
          <cell r="J309">
            <v>0</v>
          </cell>
        </row>
        <row r="310">
          <cell r="A310">
            <v>307</v>
          </cell>
          <cell r="B310" t="str">
            <v>16/17 Developments</v>
          </cell>
          <cell r="C310" t="str">
            <v xml:space="preserve">CLP service
 </v>
          </cell>
          <cell r="D310">
            <v>0.29870129870129863</v>
          </cell>
          <cell r="E310">
            <v>0.11688311688311685</v>
          </cell>
          <cell r="F310">
            <v>0.11688311688311685</v>
          </cell>
          <cell r="G310">
            <v>0.29870129870129863</v>
          </cell>
          <cell r="H310">
            <v>0.11688311688311685</v>
          </cell>
          <cell r="I310">
            <v>3.8961038961038953E-2</v>
          </cell>
          <cell r="J310">
            <v>1.2987012987012984E-2</v>
          </cell>
        </row>
        <row r="311">
          <cell r="A311">
            <v>308</v>
          </cell>
          <cell r="B311" t="str">
            <v>16/17 Developments</v>
          </cell>
          <cell r="C311" t="str">
            <v>Liver Outreach clinics - Delivery Plan Funded</v>
          </cell>
          <cell r="D311">
            <v>0.20459924531112836</v>
          </cell>
          <cell r="E311">
            <v>0.22434215911349825</v>
          </cell>
          <cell r="F311">
            <v>0.12698486941058826</v>
          </cell>
          <cell r="G311">
            <v>0.2497818348909131</v>
          </cell>
          <cell r="H311">
            <v>0.16549712844912001</v>
          </cell>
          <cell r="I311">
            <v>2.8794762824752029E-2</v>
          </cell>
          <cell r="J311">
            <v>0</v>
          </cell>
        </row>
        <row r="312">
          <cell r="A312">
            <v>309</v>
          </cell>
          <cell r="B312" t="str">
            <v>16/17 Developments</v>
          </cell>
          <cell r="C312" t="str">
            <v>Ketogenic Diet - Invest to Save</v>
          </cell>
          <cell r="D312">
            <v>0.20459924531112836</v>
          </cell>
          <cell r="E312">
            <v>0.22434215911349825</v>
          </cell>
          <cell r="F312">
            <v>0.12698486941058826</v>
          </cell>
          <cell r="G312">
            <v>0.2497818348909131</v>
          </cell>
          <cell r="H312">
            <v>0.16549712844912001</v>
          </cell>
          <cell r="I312">
            <v>2.8794762824752029E-2</v>
          </cell>
          <cell r="J312">
            <v>0</v>
          </cell>
        </row>
        <row r="313">
          <cell r="A313">
            <v>310</v>
          </cell>
          <cell r="B313" t="str">
            <v>DRC</v>
          </cell>
          <cell r="C313" t="str">
            <v>WHSSC - Core Staffing</v>
          </cell>
          <cell r="D313">
            <v>0.28689999999999999</v>
          </cell>
          <cell r="E313">
            <v>9.8599999999999993E-2</v>
          </cell>
          <cell r="F313">
            <v>0.1855</v>
          </cell>
          <cell r="G313">
            <v>0.39250000000000002</v>
          </cell>
          <cell r="H313">
            <v>1.5100000000000001E-2</v>
          </cell>
          <cell r="I313">
            <v>2.1399999999999999E-2</v>
          </cell>
          <cell r="J313">
            <v>0</v>
          </cell>
        </row>
        <row r="314">
          <cell r="A314">
            <v>311</v>
          </cell>
          <cell r="B314" t="str">
            <v>DRC</v>
          </cell>
          <cell r="C314" t="str">
            <v>WHSSC - Core non-pay</v>
          </cell>
          <cell r="D314">
            <v>0.14960000000000001</v>
          </cell>
          <cell r="E314">
            <v>0.16650000000000001</v>
          </cell>
          <cell r="F314">
            <v>9.6799999999999997E-2</v>
          </cell>
          <cell r="G314">
            <v>0.188</v>
          </cell>
          <cell r="H314">
            <v>0.12640000000000001</v>
          </cell>
          <cell r="I314">
            <v>4.4499999999999998E-2</v>
          </cell>
          <cell r="J314">
            <v>0.22819999999999999</v>
          </cell>
        </row>
        <row r="315">
          <cell r="A315">
            <v>313</v>
          </cell>
          <cell r="B315" t="str">
            <v>DRC</v>
          </cell>
          <cell r="C315" t="str">
            <v>Perinatal Project (Non-recurring)</v>
          </cell>
          <cell r="D315">
            <v>0.26159832205592187</v>
          </cell>
          <cell r="E315">
            <v>0.16929937746017182</v>
          </cell>
          <cell r="F315">
            <v>0.21146148234807191</v>
          </cell>
          <cell r="G315">
            <v>0.23968571382707121</v>
          </cell>
          <cell r="H315">
            <v>0.10462854981034532</v>
          </cell>
          <cell r="I315">
            <v>1.208202099629796E-2</v>
          </cell>
          <cell r="J315">
            <v>1.2445335021200735E-3</v>
          </cell>
        </row>
        <row r="316">
          <cell r="A316">
            <v>314</v>
          </cell>
          <cell r="B316" t="str">
            <v>DRC</v>
          </cell>
          <cell r="C316" t="str">
            <v>Gender Project (Non-recurring)</v>
          </cell>
          <cell r="D316">
            <v>0.14960000000000001</v>
          </cell>
          <cell r="E316">
            <v>0.16650000000000001</v>
          </cell>
          <cell r="F316">
            <v>9.6799999999999997E-2</v>
          </cell>
          <cell r="G316">
            <v>0.188</v>
          </cell>
          <cell r="H316">
            <v>0.12640000000000001</v>
          </cell>
          <cell r="I316">
            <v>4.4499999999999998E-2</v>
          </cell>
          <cell r="J316">
            <v>0.22819999999999999</v>
          </cell>
        </row>
        <row r="317">
          <cell r="A317">
            <v>315</v>
          </cell>
          <cell r="B317" t="str">
            <v>DRC</v>
          </cell>
          <cell r="C317" t="str">
            <v>Renal Network</v>
          </cell>
          <cell r="D317">
            <v>0.20843030773209206</v>
          </cell>
          <cell r="E317">
            <v>0.14546159813809156</v>
          </cell>
          <cell r="F317">
            <v>9.7362296353762617E-2</v>
          </cell>
          <cell r="G317">
            <v>0.18774243599689686</v>
          </cell>
          <cell r="H317">
            <v>2.9092319627618313E-2</v>
          </cell>
          <cell r="I317">
            <v>0.10796483061805018</v>
          </cell>
          <cell r="J317">
            <v>0.22394621153348851</v>
          </cell>
        </row>
        <row r="318">
          <cell r="A318">
            <v>316</v>
          </cell>
          <cell r="B318" t="str">
            <v>DRC</v>
          </cell>
          <cell r="C318" t="str">
            <v>Neonatal Network</v>
          </cell>
          <cell r="D318">
            <v>0.20843030773209206</v>
          </cell>
          <cell r="E318">
            <v>0.14546159813809156</v>
          </cell>
          <cell r="F318">
            <v>9.7362296353762617E-2</v>
          </cell>
          <cell r="G318">
            <v>0.18774243599689686</v>
          </cell>
          <cell r="H318">
            <v>2.9092319627618313E-2</v>
          </cell>
          <cell r="I318">
            <v>0.10796483061805018</v>
          </cell>
          <cell r="J318">
            <v>0.22394621153348851</v>
          </cell>
        </row>
        <row r="319">
          <cell r="A319">
            <v>317</v>
          </cell>
          <cell r="B319" t="str">
            <v>DRC</v>
          </cell>
          <cell r="C319" t="str">
            <v>CAMHS/ED Network</v>
          </cell>
          <cell r="D319">
            <v>0.14960000000000001</v>
          </cell>
          <cell r="E319">
            <v>0.16650000000000001</v>
          </cell>
          <cell r="F319">
            <v>9.6799999999999997E-2</v>
          </cell>
          <cell r="G319">
            <v>0.188</v>
          </cell>
          <cell r="H319">
            <v>0.12640000000000001</v>
          </cell>
          <cell r="I319">
            <v>4.4499999999999998E-2</v>
          </cell>
          <cell r="J319">
            <v>0.22819999999999999</v>
          </cell>
        </row>
        <row r="320">
          <cell r="A320">
            <v>322</v>
          </cell>
          <cell r="B320" t="str">
            <v>Unallocated</v>
          </cell>
          <cell r="C320" t="str">
            <v>All Wales Population</v>
          </cell>
          <cell r="D320">
            <v>0.14960000000000001</v>
          </cell>
          <cell r="E320">
            <v>0.16650000000000001</v>
          </cell>
          <cell r="F320">
            <v>9.6799999999999997E-2</v>
          </cell>
          <cell r="G320">
            <v>0.188</v>
          </cell>
          <cell r="H320">
            <v>0.12640000000000001</v>
          </cell>
          <cell r="I320">
            <v>4.4499999999999998E-2</v>
          </cell>
          <cell r="J320">
            <v>0.22819999999999999</v>
          </cell>
        </row>
        <row r="321">
          <cell r="A321">
            <v>323</v>
          </cell>
          <cell r="B321" t="str">
            <v>Unallocated</v>
          </cell>
          <cell r="C321" t="str">
            <v>South Wales Population</v>
          </cell>
          <cell r="D321">
            <v>0.20459924531112836</v>
          </cell>
          <cell r="E321">
            <v>0.22434215911349825</v>
          </cell>
          <cell r="F321">
            <v>0.12698486941058826</v>
          </cell>
          <cell r="G321">
            <v>0.2497818348909131</v>
          </cell>
          <cell r="H321">
            <v>0.16549712844912001</v>
          </cell>
          <cell r="I321">
            <v>2.8794762824752029E-2</v>
          </cell>
          <cell r="J321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vement from mth 1 (hide)"/>
      <sheetName val="Further budget info M3 (hide)"/>
      <sheetName val="MMR tables (hide)"/>
      <sheetName val="Commissioner Pivots (hide)"/>
      <sheetName val="Programme Split (hide)"/>
      <sheetName val="Programme Team Pivots (hide)"/>
      <sheetName val="Summary"/>
      <sheetName val="Income"/>
      <sheetName val="EASC incl WAST"/>
      <sheetName val="Welsh SLAs"/>
      <sheetName val="Non Welsh SLA"/>
      <sheetName val="IPFR"/>
      <sheetName val="IVF"/>
      <sheetName val="Mental Health"/>
      <sheetName val="Renal "/>
      <sheetName val="Developments and Savings"/>
      <sheetName val="Direct Running Costs"/>
      <sheetName val="2016-17 Reserves"/>
    </sheetNames>
    <sheetDataSet>
      <sheetData sheetId="0"/>
      <sheetData sheetId="1"/>
      <sheetData sheetId="2">
        <row r="6">
          <cell r="AE6">
            <v>-53.797803514195493</v>
          </cell>
        </row>
      </sheetData>
      <sheetData sheetId="3"/>
      <sheetData sheetId="4">
        <row r="6">
          <cell r="C6" t="str">
            <v>CardiffCardiology- Specialist Services</v>
          </cell>
        </row>
      </sheetData>
      <sheetData sheetId="5"/>
      <sheetData sheetId="6">
        <row r="1">
          <cell r="E1" t="str">
            <v>Month</v>
          </cell>
        </row>
      </sheetData>
      <sheetData sheetId="7">
        <row r="19">
          <cell r="CA19">
            <v>80.763999999999996</v>
          </cell>
          <cell r="CC19">
            <v>2.9790000000000001</v>
          </cell>
          <cell r="CE19">
            <v>17101.161999999993</v>
          </cell>
        </row>
        <row r="20">
          <cell r="CA20">
            <v>94.561999999999998</v>
          </cell>
          <cell r="CC20">
            <v>3.2330000000000001</v>
          </cell>
          <cell r="CE20">
            <v>19969.839000000004</v>
          </cell>
        </row>
        <row r="21">
          <cell r="CA21">
            <v>61.250999999999998</v>
          </cell>
          <cell r="CC21">
            <v>4.72</v>
          </cell>
          <cell r="CE21">
            <v>13427.936999999996</v>
          </cell>
        </row>
        <row r="22">
          <cell r="CA22">
            <v>112.637</v>
          </cell>
          <cell r="CC22">
            <v>3.9289999999999998</v>
          </cell>
          <cell r="CE22">
            <v>23811.563000000002</v>
          </cell>
        </row>
        <row r="23">
          <cell r="CA23">
            <v>92.572999999999993</v>
          </cell>
          <cell r="CC23">
            <v>6.1260000000000003</v>
          </cell>
          <cell r="CE23">
            <v>19489.368000000002</v>
          </cell>
        </row>
        <row r="24">
          <cell r="CA24">
            <v>50.311</v>
          </cell>
          <cell r="CC24">
            <v>0</v>
          </cell>
          <cell r="CE24">
            <v>10589.307000000001</v>
          </cell>
        </row>
        <row r="25">
          <cell r="CA25">
            <v>173.90100000000001</v>
          </cell>
          <cell r="CC25">
            <v>16.012</v>
          </cell>
          <cell r="CE25">
            <v>36581.590999999993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41"/>
  <sheetViews>
    <sheetView tabSelected="1" zoomScale="64" zoomScaleNormal="64" workbookViewId="0">
      <selection activeCell="A27" sqref="A27"/>
    </sheetView>
  </sheetViews>
  <sheetFormatPr defaultRowHeight="15" x14ac:dyDescent="0.25"/>
  <cols>
    <col min="1" max="1" width="73.28515625" customWidth="1"/>
    <col min="2" max="2" width="15.140625" customWidth="1"/>
    <col min="3" max="9" width="15.85546875" customWidth="1"/>
    <col min="10" max="10" width="17.7109375" customWidth="1"/>
    <col min="11" max="11" width="18.42578125" customWidth="1"/>
  </cols>
  <sheetData>
    <row r="1" spans="1:11" ht="46.5" customHeight="1" thickBot="1" x14ac:dyDescent="0.4">
      <c r="A1" s="773" t="s">
        <v>524</v>
      </c>
      <c r="B1" s="773"/>
      <c r="C1" s="773"/>
      <c r="D1" s="773"/>
      <c r="E1" s="773"/>
      <c r="F1" s="773"/>
      <c r="G1" s="773"/>
      <c r="H1" s="773"/>
      <c r="I1" s="773"/>
      <c r="J1" s="773"/>
      <c r="K1" s="734"/>
    </row>
    <row r="2" spans="1:11" ht="18.75" customHeight="1" thickBot="1" x14ac:dyDescent="0.3">
      <c r="A2" s="580"/>
      <c r="B2" s="496"/>
      <c r="C2" s="774" t="s">
        <v>577</v>
      </c>
      <c r="D2" s="775"/>
      <c r="E2" s="775"/>
      <c r="F2" s="775"/>
      <c r="G2" s="775"/>
      <c r="H2" s="775"/>
      <c r="I2" s="775"/>
      <c r="J2" s="776"/>
      <c r="K2" s="734"/>
    </row>
    <row r="3" spans="1:11" ht="75.75" customHeight="1" thickBot="1" x14ac:dyDescent="0.3">
      <c r="A3" s="580"/>
      <c r="B3" s="497"/>
      <c r="C3" s="362" t="s">
        <v>436</v>
      </c>
      <c r="D3" s="645" t="s">
        <v>437</v>
      </c>
      <c r="E3" s="645" t="s">
        <v>438</v>
      </c>
      <c r="F3" s="645" t="s">
        <v>439</v>
      </c>
      <c r="G3" s="645" t="s">
        <v>441</v>
      </c>
      <c r="H3" s="645" t="s">
        <v>442</v>
      </c>
      <c r="I3" s="646" t="s">
        <v>440</v>
      </c>
      <c r="J3" s="579" t="s">
        <v>443</v>
      </c>
      <c r="K3" s="734"/>
    </row>
    <row r="4" spans="1:11" ht="20.25" customHeight="1" thickBot="1" x14ac:dyDescent="0.3">
      <c r="A4" s="581"/>
      <c r="B4" s="495" t="s">
        <v>156</v>
      </c>
      <c r="C4" s="647" t="s">
        <v>9</v>
      </c>
      <c r="D4" s="648" t="s">
        <v>9</v>
      </c>
      <c r="E4" s="648" t="s">
        <v>9</v>
      </c>
      <c r="F4" s="648" t="s">
        <v>9</v>
      </c>
      <c r="G4" s="648" t="s">
        <v>9</v>
      </c>
      <c r="H4" s="648" t="s">
        <v>9</v>
      </c>
      <c r="I4" s="649" t="s">
        <v>9</v>
      </c>
      <c r="J4" s="175" t="s">
        <v>9</v>
      </c>
      <c r="K4" s="734"/>
    </row>
    <row r="5" spans="1:11" ht="24" customHeight="1" x14ac:dyDescent="0.25">
      <c r="A5" s="636" t="s">
        <v>605</v>
      </c>
      <c r="B5" s="650" t="s">
        <v>405</v>
      </c>
      <c r="C5" s="595">
        <f>'Table 2 - Income'!K13</f>
        <v>97.578165999999996</v>
      </c>
      <c r="D5" s="596">
        <f>'Table 2 - Income'!L13</f>
        <v>104.995651</v>
      </c>
      <c r="E5" s="596">
        <f>'Table 2 - Income'!M13</f>
        <v>121.531325</v>
      </c>
      <c r="F5" s="596">
        <f>'Table 2 - Income'!N13</f>
        <v>98.535055</v>
      </c>
      <c r="G5" s="596">
        <f>'Table 2 - Income'!O13</f>
        <v>50.779508</v>
      </c>
      <c r="H5" s="596">
        <f>'Table 2 - Income'!P13</f>
        <v>60.12903</v>
      </c>
      <c r="I5" s="597">
        <f>'Table 2 - Income'!Q13</f>
        <v>21.916343999999999</v>
      </c>
      <c r="J5" s="598">
        <f>SUM(C5:I5)</f>
        <v>555.46507900000006</v>
      </c>
      <c r="K5" s="734"/>
    </row>
    <row r="6" spans="1:11" ht="11.25" hidden="1" customHeight="1" x14ac:dyDescent="0.3">
      <c r="A6" s="637"/>
      <c r="B6" s="651"/>
      <c r="C6" s="599"/>
      <c r="D6" s="600"/>
      <c r="E6" s="600"/>
      <c r="F6" s="601"/>
      <c r="G6" s="602"/>
      <c r="H6" s="600"/>
      <c r="I6" s="603"/>
      <c r="J6" s="604"/>
      <c r="K6" s="734"/>
    </row>
    <row r="7" spans="1:11" ht="24" customHeight="1" x14ac:dyDescent="0.3">
      <c r="A7" s="638" t="s">
        <v>596</v>
      </c>
      <c r="B7" s="652" t="s">
        <v>183</v>
      </c>
      <c r="C7" s="605">
        <f>'Table 3 - Rollover Baseline'!K11</f>
        <v>-0.412464</v>
      </c>
      <c r="D7" s="606">
        <f>'Table 3 - Rollover Baseline'!L11</f>
        <v>-0.72421999999999997</v>
      </c>
      <c r="E7" s="606">
        <f>'Table 3 - Rollover Baseline'!M11</f>
        <v>-2.9507490000000001</v>
      </c>
      <c r="F7" s="606">
        <f>'Table 3 - Rollover Baseline'!N11</f>
        <v>-0.32805600000000001</v>
      </c>
      <c r="G7" s="606">
        <f>'Table 3 - Rollover Baseline'!O11</f>
        <v>-0.27219900000000002</v>
      </c>
      <c r="H7" s="606">
        <f>'Table 3 - Rollover Baseline'!P11</f>
        <v>-4.6155000000000002E-2</v>
      </c>
      <c r="I7" s="607">
        <f>'Table 3 - Rollover Baseline'!Q11</f>
        <v>-0.56548600000000004</v>
      </c>
      <c r="J7" s="608">
        <f>SUM(C7:I7)</f>
        <v>-5.2993289999999993</v>
      </c>
      <c r="K7" s="734"/>
    </row>
    <row r="8" spans="1:11" ht="24" customHeight="1" x14ac:dyDescent="0.3">
      <c r="A8" s="633" t="s">
        <v>603</v>
      </c>
      <c r="B8" s="653" t="s">
        <v>183</v>
      </c>
      <c r="C8" s="609">
        <f>'Table 3 - Rollover Baseline'!K12</f>
        <v>0.47789799999999999</v>
      </c>
      <c r="D8" s="610">
        <f>'Table 3 - Rollover Baseline'!L12</f>
        <v>0.166994</v>
      </c>
      <c r="E8" s="610">
        <f>'Table 3 - Rollover Baseline'!M12</f>
        <v>2.886676</v>
      </c>
      <c r="F8" s="610">
        <f>'Table 3 - Rollover Baseline'!N12</f>
        <v>0.57851399999999997</v>
      </c>
      <c r="G8" s="610">
        <f>'Table 3 - Rollover Baseline'!O12</f>
        <v>0.367456</v>
      </c>
      <c r="H8" s="610">
        <f>'Table 3 - Rollover Baseline'!P12</f>
        <v>0.31785799999999997</v>
      </c>
      <c r="I8" s="611">
        <f>'Table 3 - Rollover Baseline'!Q12</f>
        <v>0.21767900000000001</v>
      </c>
      <c r="J8" s="612">
        <f>SUM(C8:I8)</f>
        <v>5.0130750000000006</v>
      </c>
      <c r="K8" s="734"/>
    </row>
    <row r="9" spans="1:11" ht="24" customHeight="1" x14ac:dyDescent="0.3">
      <c r="A9" s="638" t="s">
        <v>10</v>
      </c>
      <c r="B9" s="652" t="s">
        <v>183</v>
      </c>
      <c r="C9" s="605">
        <f>'Table 3 - Rollover Baseline'!K14</f>
        <v>0.50440799999999997</v>
      </c>
      <c r="D9" s="606">
        <f>'Table 3 - Rollover Baseline'!L14</f>
        <v>1.2289650000000001</v>
      </c>
      <c r="E9" s="606">
        <f>'Table 3 - Rollover Baseline'!M14</f>
        <v>1.794098</v>
      </c>
      <c r="F9" s="606">
        <f>'Table 3 - Rollover Baseline'!N14</f>
        <v>0.56661399999999995</v>
      </c>
      <c r="G9" s="606">
        <f>'Table 3 - Rollover Baseline'!O14</f>
        <v>0.22872200000000001</v>
      </c>
      <c r="H9" s="606">
        <f>'Table 3 - Rollover Baseline'!P14</f>
        <v>0.28689100000000001</v>
      </c>
      <c r="I9" s="607">
        <f>'Table 3 - Rollover Baseline'!Q14</f>
        <v>0.55867500000000003</v>
      </c>
      <c r="J9" s="608">
        <f t="shared" ref="J9:J13" si="0">SUM(C9:I9)</f>
        <v>5.1683729999999999</v>
      </c>
      <c r="K9" s="735"/>
    </row>
    <row r="10" spans="1:11" ht="24" customHeight="1" x14ac:dyDescent="0.3">
      <c r="A10" s="638" t="s">
        <v>604</v>
      </c>
      <c r="B10" s="652" t="s">
        <v>12</v>
      </c>
      <c r="C10" s="605">
        <f>'Table 3 - Rollover Baseline'!K143</f>
        <v>0.63438880079703097</v>
      </c>
      <c r="D10" s="606">
        <f>'Table 3 - Rollover Baseline'!L143</f>
        <v>0.67427772860837509</v>
      </c>
      <c r="E10" s="606">
        <f>'Table 3 - Rollover Baseline'!M143</f>
        <v>1.1760226286250046</v>
      </c>
      <c r="F10" s="606">
        <f>'Table 3 - Rollover Baseline'!N143</f>
        <v>1.4980767328949287</v>
      </c>
      <c r="G10" s="606">
        <f>'Table 3 - Rollover Baseline'!O143</f>
        <v>0.76425571328735564</v>
      </c>
      <c r="H10" s="606">
        <f>'Table 3 - Rollover Baseline'!P143</f>
        <v>0.49129994262964405</v>
      </c>
      <c r="I10" s="607">
        <f>'Table 3 - Rollover Baseline'!Q143</f>
        <v>0.22782435191936423</v>
      </c>
      <c r="J10" s="608">
        <f t="shared" si="0"/>
        <v>5.4661458987617033</v>
      </c>
      <c r="K10" s="735"/>
    </row>
    <row r="11" spans="1:11" ht="24" customHeight="1" x14ac:dyDescent="0.3">
      <c r="A11" s="638" t="s">
        <v>435</v>
      </c>
      <c r="B11" s="652" t="s">
        <v>13</v>
      </c>
      <c r="C11" s="605">
        <f>'Table 3 - Rollover Baseline'!K156</f>
        <v>0.21198703790206852</v>
      </c>
      <c r="D11" s="606">
        <f>'Table 3 - Rollover Baseline'!L156</f>
        <v>0.2393046829974172</v>
      </c>
      <c r="E11" s="606">
        <f>'Table 3 - Rollover Baseline'!M156</f>
        <v>7.0462479545717799E-2</v>
      </c>
      <c r="F11" s="606">
        <f>'Table 3 - Rollover Baseline'!N156</f>
        <v>0.22144195281113666</v>
      </c>
      <c r="G11" s="606">
        <f>'Table 3 - Rollover Baseline'!O156</f>
        <v>0.1236644613553336</v>
      </c>
      <c r="H11" s="606">
        <f>'Table 3 - Rollover Baseline'!P156</f>
        <v>0.14673265456544993</v>
      </c>
      <c r="I11" s="607">
        <f>'Table 3 - Rollover Baseline'!Q156</f>
        <v>4.1606730822876359E-2</v>
      </c>
      <c r="J11" s="608">
        <f t="shared" si="0"/>
        <v>1.0552000000000001</v>
      </c>
      <c r="K11" s="735"/>
    </row>
    <row r="12" spans="1:11" ht="24" customHeight="1" x14ac:dyDescent="0.3">
      <c r="A12" s="638" t="s">
        <v>433</v>
      </c>
      <c r="B12" s="652" t="s">
        <v>189</v>
      </c>
      <c r="C12" s="605">
        <f>'Table 6 - Growth'!K23+'Table 6 - Growth'!K32</f>
        <v>1.026103665119642</v>
      </c>
      <c r="D12" s="606">
        <f>'Table 6 - Growth'!L23+'Table 6 - Growth'!L32</f>
        <v>1.3831418340354551</v>
      </c>
      <c r="E12" s="606">
        <f>'Table 6 - Growth'!M23+'Table 6 - Growth'!M32</f>
        <v>1.175534645125802</v>
      </c>
      <c r="F12" s="606">
        <f>'Table 6 - Growth'!N23+'Table 6 - Growth'!N32</f>
        <v>1.0097933050188606</v>
      </c>
      <c r="G12" s="606">
        <f>'Table 6 - Growth'!O23+'Table 6 - Growth'!O32</f>
        <v>0.76102697110514805</v>
      </c>
      <c r="H12" s="606">
        <f>'Table 6 - Growth'!P23+'Table 6 - Growth'!P32</f>
        <v>0.73010657496176479</v>
      </c>
      <c r="I12" s="607">
        <f>'Table 6 - Growth'!Q23+'Table 6 - Growth'!Q32</f>
        <v>0.20629300463332823</v>
      </c>
      <c r="J12" s="608">
        <f t="shared" si="0"/>
        <v>6.2920000000000007</v>
      </c>
      <c r="K12" s="735"/>
    </row>
    <row r="13" spans="1:11" ht="24" customHeight="1" x14ac:dyDescent="0.3">
      <c r="A13" s="638" t="s">
        <v>481</v>
      </c>
      <c r="B13" s="652" t="s">
        <v>482</v>
      </c>
      <c r="C13" s="661">
        <f>'Table 7 - Horizon Scanning'!K15+'Table 7 - Horizon Scanning'!K25</f>
        <v>0.1598</v>
      </c>
      <c r="D13" s="662">
        <f>'Table 7 - Horizon Scanning'!L15+'Table 7 - Horizon Scanning'!L25</f>
        <v>0.35160000000000002</v>
      </c>
      <c r="E13" s="662">
        <f>'Table 7 - Horizon Scanning'!M15+'Table 7 - Horizon Scanning'!M25</f>
        <v>0.13691999999999999</v>
      </c>
      <c r="F13" s="662">
        <f>'Table 7 - Horizon Scanning'!N15+'Table 7 - Horizon Scanning'!N25</f>
        <v>0.26436000000000004</v>
      </c>
      <c r="G13" s="662">
        <f>'Table 7 - Horizon Scanning'!O15+'Table 7 - Horizon Scanning'!O25</f>
        <v>0.17108000000000001</v>
      </c>
      <c r="H13" s="662">
        <f>'Table 7 - Horizon Scanning'!P15+'Table 7 - Horizon Scanning'!P25</f>
        <v>8.4839999999999999E-2</v>
      </c>
      <c r="I13" s="663">
        <f>'Table 7 - Horizon Scanning'!Q15+'Table 7 - Horizon Scanning'!Q25</f>
        <v>3.9699999999999999E-2</v>
      </c>
      <c r="J13" s="608">
        <f t="shared" si="0"/>
        <v>1.2083000000000002</v>
      </c>
      <c r="K13" s="734"/>
    </row>
    <row r="14" spans="1:11" ht="24" customHeight="1" thickBot="1" x14ac:dyDescent="0.35">
      <c r="A14" s="640" t="s">
        <v>434</v>
      </c>
      <c r="B14" s="655" t="s">
        <v>147</v>
      </c>
      <c r="C14" s="616">
        <f>'Table 5 - VBC Workstreams'!K21</f>
        <v>-0.67769345558328586</v>
      </c>
      <c r="D14" s="617">
        <f>'Table 5 - VBC Workstreams'!L21</f>
        <v>-0.72697496515635651</v>
      </c>
      <c r="E14" s="617">
        <f>'Table 5 - VBC Workstreams'!M21</f>
        <v>-0.73495211555103834</v>
      </c>
      <c r="F14" s="617">
        <f>'Table 5 - VBC Workstreams'!N21</f>
        <v>-0.6702022844602139</v>
      </c>
      <c r="G14" s="617">
        <f>'Table 5 - VBC Workstreams'!O21</f>
        <v>-0.44165682611144352</v>
      </c>
      <c r="H14" s="617">
        <f>'Table 5 - VBC Workstreams'!P21</f>
        <v>-0.29911559907995644</v>
      </c>
      <c r="I14" s="618">
        <f>'Table 5 - VBC Workstreams'!Q21</f>
        <v>-0.19619075405770528</v>
      </c>
      <c r="J14" s="619">
        <f>SUM(C14:I14)</f>
        <v>-3.7467859999999993</v>
      </c>
      <c r="K14" s="736"/>
    </row>
    <row r="15" spans="1:11" ht="25.5" customHeight="1" thickBot="1" x14ac:dyDescent="0.4">
      <c r="A15" s="594" t="s">
        <v>406</v>
      </c>
      <c r="B15" s="642"/>
      <c r="C15" s="620">
        <f t="shared" ref="C15:I15" si="1">SUM(C7:C14)</f>
        <v>1.9244280482354554</v>
      </c>
      <c r="D15" s="621">
        <f t="shared" si="1"/>
        <v>2.5930882804848912</v>
      </c>
      <c r="E15" s="621">
        <f t="shared" si="1"/>
        <v>3.5540126377454855</v>
      </c>
      <c r="F15" s="621">
        <f t="shared" si="1"/>
        <v>3.1405417062647119</v>
      </c>
      <c r="G15" s="621">
        <f t="shared" si="1"/>
        <v>1.7023493196363939</v>
      </c>
      <c r="H15" s="621">
        <f t="shared" si="1"/>
        <v>1.7124575730769025</v>
      </c>
      <c r="I15" s="622">
        <f t="shared" si="1"/>
        <v>0.53010133331786358</v>
      </c>
      <c r="J15" s="623">
        <f>SUM(C15:I15)</f>
        <v>15.156978898761704</v>
      </c>
      <c r="K15" s="736">
        <f>J15/J5</f>
        <v>2.7287005919523703E-2</v>
      </c>
    </row>
    <row r="16" spans="1:11" ht="25.5" customHeight="1" thickBot="1" x14ac:dyDescent="0.35">
      <c r="A16" s="634" t="s">
        <v>522</v>
      </c>
      <c r="B16" s="721" t="s">
        <v>154</v>
      </c>
      <c r="C16" s="628">
        <f>'Table 9 - CIAG Schemes'!I22</f>
        <v>0.57704656956410694</v>
      </c>
      <c r="D16" s="629">
        <f>'Table 9 - CIAG Schemes'!J22</f>
        <v>0.64489788264217141</v>
      </c>
      <c r="E16" s="629">
        <f>'Table 9 - CIAG Schemes'!K22</f>
        <v>0.33567732759784186</v>
      </c>
      <c r="F16" s="629">
        <f>'Table 9 - CIAG Schemes'!L22</f>
        <v>0.56188339119056063</v>
      </c>
      <c r="G16" s="629">
        <f>'Table 9 - CIAG Schemes'!M22</f>
        <v>0.33289964887074353</v>
      </c>
      <c r="H16" s="629">
        <f>'Table 9 - CIAG Schemes'!N22</f>
        <v>0.41147857701789198</v>
      </c>
      <c r="I16" s="630">
        <f>'Table 9 - CIAG Schemes'!O22</f>
        <v>9.7116603116684019E-2</v>
      </c>
      <c r="J16" s="631">
        <f t="shared" ref="J16:J19" si="2">SUM(C16:I16)</f>
        <v>2.9610000000000003</v>
      </c>
      <c r="K16" s="734"/>
    </row>
    <row r="17" spans="1:11" ht="25.5" customHeight="1" thickBot="1" x14ac:dyDescent="0.35">
      <c r="A17" s="594" t="s">
        <v>595</v>
      </c>
      <c r="B17" s="722"/>
      <c r="C17" s="620">
        <f t="shared" ref="C17:I17" si="3">C16+C15</f>
        <v>2.5014746177995626</v>
      </c>
      <c r="D17" s="621">
        <f t="shared" si="3"/>
        <v>3.2379861631270623</v>
      </c>
      <c r="E17" s="621">
        <f t="shared" si="3"/>
        <v>3.8896899653433272</v>
      </c>
      <c r="F17" s="621">
        <f t="shared" si="3"/>
        <v>3.7024250974552726</v>
      </c>
      <c r="G17" s="621">
        <f t="shared" si="3"/>
        <v>2.0352489685071373</v>
      </c>
      <c r="H17" s="621">
        <f t="shared" si="3"/>
        <v>2.1239361500947944</v>
      </c>
      <c r="I17" s="622">
        <f t="shared" si="3"/>
        <v>0.6272179364345476</v>
      </c>
      <c r="J17" s="623">
        <f t="shared" si="2"/>
        <v>18.117978898761702</v>
      </c>
      <c r="K17" s="764"/>
    </row>
    <row r="18" spans="1:11" ht="25.5" hidden="1" customHeight="1" thickBot="1" x14ac:dyDescent="0.4">
      <c r="A18" s="577" t="s">
        <v>525</v>
      </c>
      <c r="B18" s="643"/>
      <c r="C18" s="624">
        <f t="shared" ref="C18:I18" si="4">C17/C5</f>
        <v>2.5635597801659468E-2</v>
      </c>
      <c r="D18" s="625">
        <f t="shared" si="4"/>
        <v>3.0839240790335808E-2</v>
      </c>
      <c r="E18" s="625">
        <f t="shared" si="4"/>
        <v>3.2005657515404587E-2</v>
      </c>
      <c r="F18" s="625">
        <f t="shared" si="4"/>
        <v>3.7574699658464418E-2</v>
      </c>
      <c r="G18" s="625">
        <f t="shared" si="4"/>
        <v>4.008012382686215E-2</v>
      </c>
      <c r="H18" s="625">
        <f t="shared" si="4"/>
        <v>3.5322973779799781E-2</v>
      </c>
      <c r="I18" s="626">
        <f t="shared" si="4"/>
        <v>2.8618730224098856E-2</v>
      </c>
      <c r="J18" s="627">
        <f>J15/J5</f>
        <v>2.7287005919523703E-2</v>
      </c>
      <c r="K18" s="734"/>
    </row>
    <row r="19" spans="1:11" ht="25.5" customHeight="1" thickBot="1" x14ac:dyDescent="0.35">
      <c r="A19" s="677" t="s">
        <v>539</v>
      </c>
      <c r="B19" s="723" t="s">
        <v>575</v>
      </c>
      <c r="C19" s="678">
        <f>'Table 4 - Welsh Inflation'!K17</f>
        <v>1.6039016991081312</v>
      </c>
      <c r="D19" s="679">
        <f>'Table 4 - Welsh Inflation'!L17</f>
        <v>1.4916909903242357</v>
      </c>
      <c r="E19" s="679">
        <f>'Table 4 - Welsh Inflation'!M17</f>
        <v>0.81501084062116502</v>
      </c>
      <c r="F19" s="679">
        <f>'Table 4 - Welsh Inflation'!N17</f>
        <v>1.4925325807951495</v>
      </c>
      <c r="G19" s="679">
        <f>'Table 4 - Welsh Inflation'!O17</f>
        <v>0.77158446598027197</v>
      </c>
      <c r="H19" s="679">
        <f>'Table 4 - Welsh Inflation'!P17</f>
        <v>0.8532983045089414</v>
      </c>
      <c r="I19" s="680">
        <f>'Table 4 - Welsh Inflation'!Q17</f>
        <v>0.1982217986621056</v>
      </c>
      <c r="J19" s="681">
        <f t="shared" si="2"/>
        <v>7.2262406800000001</v>
      </c>
      <c r="K19" s="736">
        <f>(J17+J19)/J5</f>
        <v>4.562702595883926E-2</v>
      </c>
    </row>
    <row r="20" spans="1:11" ht="25.5" customHeight="1" thickBot="1" x14ac:dyDescent="0.35">
      <c r="A20" s="594" t="s">
        <v>563</v>
      </c>
      <c r="B20" s="722"/>
      <c r="C20" s="620">
        <f t="shared" ref="C20:I20" si="5">C15+C16+C19</f>
        <v>4.1053763169076936</v>
      </c>
      <c r="D20" s="621">
        <f t="shared" si="5"/>
        <v>4.7296771534512985</v>
      </c>
      <c r="E20" s="621">
        <f t="shared" si="5"/>
        <v>4.7047008059644924</v>
      </c>
      <c r="F20" s="621">
        <f t="shared" si="5"/>
        <v>5.1949576782504217</v>
      </c>
      <c r="G20" s="621">
        <f t="shared" si="5"/>
        <v>2.8068334344874093</v>
      </c>
      <c r="H20" s="621">
        <f t="shared" si="5"/>
        <v>2.9772344546037357</v>
      </c>
      <c r="I20" s="622">
        <f t="shared" si="5"/>
        <v>0.82543973509665314</v>
      </c>
      <c r="J20" s="623">
        <f>SUM(C20:I20)</f>
        <v>25.344219578761702</v>
      </c>
      <c r="K20" s="734"/>
    </row>
    <row r="21" spans="1:11" ht="25.5" customHeight="1" thickBot="1" x14ac:dyDescent="0.35">
      <c r="A21" s="594" t="s">
        <v>540</v>
      </c>
      <c r="B21" s="722"/>
      <c r="C21" s="620">
        <f t="shared" ref="C21:J21" si="6">C20+C5</f>
        <v>101.68354231690769</v>
      </c>
      <c r="D21" s="621">
        <f t="shared" si="6"/>
        <v>109.7253281534513</v>
      </c>
      <c r="E21" s="621">
        <f t="shared" si="6"/>
        <v>126.23602580596449</v>
      </c>
      <c r="F21" s="621">
        <f t="shared" si="6"/>
        <v>103.73001267825042</v>
      </c>
      <c r="G21" s="621">
        <f t="shared" si="6"/>
        <v>53.586341434487409</v>
      </c>
      <c r="H21" s="621">
        <f t="shared" si="6"/>
        <v>63.106264454603739</v>
      </c>
      <c r="I21" s="622">
        <f t="shared" si="6"/>
        <v>22.741783735096654</v>
      </c>
      <c r="J21" s="620">
        <f t="shared" si="6"/>
        <v>580.80929857876174</v>
      </c>
      <c r="K21" s="734"/>
    </row>
    <row r="22" spans="1:11" ht="25.5" hidden="1" customHeight="1" thickBot="1" x14ac:dyDescent="0.35">
      <c r="A22" s="635" t="s">
        <v>541</v>
      </c>
      <c r="B22" s="724"/>
      <c r="C22" s="624">
        <f t="shared" ref="C22:J22" si="7">C20/C5</f>
        <v>4.2072693976516161E-2</v>
      </c>
      <c r="D22" s="625">
        <f t="shared" si="7"/>
        <v>4.5046410097988709E-2</v>
      </c>
      <c r="E22" s="625">
        <f t="shared" si="7"/>
        <v>3.8711836688726076E-2</v>
      </c>
      <c r="F22" s="625">
        <f t="shared" si="7"/>
        <v>5.2721923971630419E-2</v>
      </c>
      <c r="G22" s="625">
        <f t="shared" si="7"/>
        <v>5.5274923783968317E-2</v>
      </c>
      <c r="H22" s="625">
        <f t="shared" si="7"/>
        <v>4.9514094183853219E-2</v>
      </c>
      <c r="I22" s="626">
        <f t="shared" si="7"/>
        <v>3.7663204004128301E-2</v>
      </c>
      <c r="J22" s="627">
        <f t="shared" si="7"/>
        <v>4.562702595883926E-2</v>
      </c>
      <c r="K22" s="734"/>
    </row>
    <row r="23" spans="1:11" ht="25.5" customHeight="1" thickBot="1" x14ac:dyDescent="0.3">
      <c r="A23" s="777"/>
      <c r="B23" s="777"/>
      <c r="C23" s="777"/>
      <c r="D23" s="777"/>
      <c r="E23" s="777"/>
      <c r="F23" s="777"/>
      <c r="G23" s="777"/>
      <c r="H23" s="777"/>
      <c r="I23" s="777"/>
      <c r="J23" s="777"/>
      <c r="K23" s="734"/>
    </row>
    <row r="24" spans="1:11" ht="25.5" customHeight="1" x14ac:dyDescent="0.25">
      <c r="A24" s="636" t="s">
        <v>618</v>
      </c>
      <c r="B24" s="650"/>
      <c r="C24" s="595">
        <f>'Table 10 - EASC &amp; QAT'!C8</f>
        <v>19.8074948484382</v>
      </c>
      <c r="D24" s="596">
        <f>'Table 10 - EASC &amp; QAT'!D8</f>
        <v>23.590809131864294</v>
      </c>
      <c r="E24" s="596">
        <f>'Table 10 - EASC &amp; QAT'!E8</f>
        <v>36.341838317544614</v>
      </c>
      <c r="F24" s="596">
        <f>'Table 10 - EASC &amp; QAT'!F8</f>
        <v>16.919202816557092</v>
      </c>
      <c r="G24" s="596">
        <f>'Table 10 - EASC &amp; QAT'!G8</f>
        <v>13.307298373334881</v>
      </c>
      <c r="H24" s="596">
        <f>'Table 10 - EASC &amp; QAT'!H8</f>
        <v>19.379297421617355</v>
      </c>
      <c r="I24" s="749">
        <f>'Table 10 - EASC &amp; QAT'!I8</f>
        <v>10.525746084677227</v>
      </c>
      <c r="J24" s="598">
        <f>SUM(C24:I24)</f>
        <v>139.87168699403367</v>
      </c>
      <c r="K24" s="734"/>
    </row>
    <row r="25" spans="1:11" ht="25.5" customHeight="1" thickBot="1" x14ac:dyDescent="0.35">
      <c r="A25" s="674" t="s">
        <v>542</v>
      </c>
      <c r="B25" s="725" t="s">
        <v>576</v>
      </c>
      <c r="C25" s="676">
        <f>'Table 10 - EASC &amp; QAT'!C21</f>
        <v>1.5021843691435883</v>
      </c>
      <c r="D25" s="755">
        <f>'Table 10 - EASC &amp; QAT'!D21</f>
        <v>1.7891886480283097</v>
      </c>
      <c r="E25" s="755">
        <f>'Table 10 - EASC &amp; QAT'!E21</f>
        <v>2.7606888465791055</v>
      </c>
      <c r="F25" s="755">
        <f>'Table 10 - EASC &amp; QAT'!F21</f>
        <v>1.2830674350894873</v>
      </c>
      <c r="G25" s="755">
        <f>'Table 10 - EASC &amp; QAT'!G21</f>
        <v>0.98252185970761907</v>
      </c>
      <c r="H25" s="755">
        <f>'Table 10 - EASC &amp; QAT'!H21</f>
        <v>1.4704168023722948</v>
      </c>
      <c r="I25" s="758">
        <f>'Table 10 - EASC &amp; QAT'!I21</f>
        <v>0.79798203307296611</v>
      </c>
      <c r="J25" s="753">
        <f>SUM(C25:I25)</f>
        <v>10.58604999399337</v>
      </c>
      <c r="K25" s="734"/>
    </row>
    <row r="26" spans="1:11" ht="25.5" customHeight="1" thickBot="1" x14ac:dyDescent="0.35">
      <c r="A26" s="594" t="s">
        <v>623</v>
      </c>
      <c r="B26" s="594"/>
      <c r="C26" s="620">
        <f>'Table 10 - EASC &amp; QAT'!C22</f>
        <v>21.309679217581788</v>
      </c>
      <c r="D26" s="621">
        <f>'Table 10 - EASC &amp; QAT'!D22</f>
        <v>25.379997779892605</v>
      </c>
      <c r="E26" s="621">
        <f>'Table 10 - EASC &amp; QAT'!E22</f>
        <v>39.102527164123721</v>
      </c>
      <c r="F26" s="621">
        <f>'Table 10 - EASC &amp; QAT'!F22</f>
        <v>18.202270251646581</v>
      </c>
      <c r="G26" s="621">
        <f>'Table 10 - EASC &amp; QAT'!G22</f>
        <v>14.2898202330425</v>
      </c>
      <c r="H26" s="621">
        <f>'Table 10 - EASC &amp; QAT'!H22</f>
        <v>20.84971422398965</v>
      </c>
      <c r="I26" s="622">
        <f>'Table 10 - EASC &amp; QAT'!I22</f>
        <v>11.323728117750193</v>
      </c>
      <c r="J26" s="623">
        <f>SUM(C26:I26)</f>
        <v>150.45773698802702</v>
      </c>
      <c r="K26" s="734"/>
    </row>
    <row r="27" spans="1:11" ht="25.5" customHeight="1" thickBot="1" x14ac:dyDescent="0.35">
      <c r="A27" s="756" t="s">
        <v>606</v>
      </c>
      <c r="B27" s="757"/>
      <c r="C27" s="620">
        <f>'Table 10 - EASC &amp; QAT'!C23</f>
        <v>0.16234415156180354</v>
      </c>
      <c r="D27" s="621">
        <f>'Table 10 - EASC &amp; QAT'!D23</f>
        <v>0.22075386813571168</v>
      </c>
      <c r="E27" s="621">
        <f>'Table 10 - EASC &amp; QAT'!E23</f>
        <v>0.239752682455384</v>
      </c>
      <c r="F27" s="621">
        <f>'Table 10 - EASC &amp; QAT'!F23</f>
        <v>0.18195918344290157</v>
      </c>
      <c r="G27" s="621">
        <f>'Table 10 - EASC &amp; QAT'!G23</f>
        <v>0.1206386266651143</v>
      </c>
      <c r="H27" s="621">
        <f>'Table 10 - EASC &amp; QAT'!H23</f>
        <v>0.11007057838264532</v>
      </c>
      <c r="I27" s="751">
        <f>'Table 10 - EASC &amp; QAT'!I23</f>
        <v>6.3560915322774025E-2</v>
      </c>
      <c r="J27" s="623">
        <f>SUM(C27:I27)</f>
        <v>1.0990800059663344</v>
      </c>
      <c r="K27" s="734"/>
    </row>
    <row r="28" spans="1:11" ht="25.5" customHeight="1" thickBot="1" x14ac:dyDescent="0.3">
      <c r="A28" s="778"/>
      <c r="B28" s="778"/>
      <c r="C28" s="778"/>
      <c r="D28" s="778"/>
      <c r="E28" s="778"/>
      <c r="F28" s="778"/>
      <c r="G28" s="778"/>
      <c r="H28" s="778"/>
      <c r="I28" s="778"/>
      <c r="J28" s="778"/>
      <c r="K28" s="734"/>
    </row>
    <row r="29" spans="1:11" ht="25.5" customHeight="1" thickBot="1" x14ac:dyDescent="0.4">
      <c r="A29" s="594" t="s">
        <v>543</v>
      </c>
      <c r="B29" s="642"/>
      <c r="C29" s="620">
        <f>C26+C21+C27</f>
        <v>123.15556568605128</v>
      </c>
      <c r="D29" s="621">
        <f t="shared" ref="D29:I29" si="8">D26+D21+D27</f>
        <v>135.32607980147964</v>
      </c>
      <c r="E29" s="621">
        <f t="shared" si="8"/>
        <v>165.57830565254361</v>
      </c>
      <c r="F29" s="621">
        <f t="shared" si="8"/>
        <v>122.1142421133399</v>
      </c>
      <c r="G29" s="621">
        <f t="shared" si="8"/>
        <v>67.996800294195026</v>
      </c>
      <c r="H29" s="621">
        <f t="shared" si="8"/>
        <v>84.066049256976044</v>
      </c>
      <c r="I29" s="622">
        <f t="shared" si="8"/>
        <v>34.129072768169621</v>
      </c>
      <c r="J29" s="620">
        <f>SUM(C29:I29)</f>
        <v>732.36611557275512</v>
      </c>
      <c r="K29" s="763"/>
    </row>
    <row r="30" spans="1:11" ht="25.5" customHeight="1" thickBot="1" x14ac:dyDescent="0.3">
      <c r="A30" s="778"/>
      <c r="B30" s="778"/>
      <c r="C30" s="778"/>
      <c r="D30" s="778"/>
      <c r="E30" s="778"/>
      <c r="F30" s="778"/>
      <c r="G30" s="778"/>
      <c r="H30" s="778"/>
      <c r="I30" s="778"/>
      <c r="J30" s="778"/>
      <c r="K30" s="734"/>
    </row>
    <row r="31" spans="1:11" ht="25.5" customHeight="1" thickBot="1" x14ac:dyDescent="0.4">
      <c r="A31" s="594" t="s">
        <v>579</v>
      </c>
      <c r="B31" s="642"/>
      <c r="C31" s="620">
        <f t="shared" ref="C31:I31" si="9">C25+C20</f>
        <v>5.6075606860512819</v>
      </c>
      <c r="D31" s="621">
        <f t="shared" si="9"/>
        <v>6.5188658014796079</v>
      </c>
      <c r="E31" s="621">
        <f t="shared" si="9"/>
        <v>7.4653896525435979</v>
      </c>
      <c r="F31" s="621">
        <f t="shared" si="9"/>
        <v>6.4780251133399087</v>
      </c>
      <c r="G31" s="621">
        <f t="shared" si="9"/>
        <v>3.7893552941950284</v>
      </c>
      <c r="H31" s="621">
        <f t="shared" si="9"/>
        <v>4.4476512569760303</v>
      </c>
      <c r="I31" s="621">
        <f t="shared" si="9"/>
        <v>1.6234217681696193</v>
      </c>
      <c r="J31" s="620">
        <f>SUM(C31:I31)</f>
        <v>35.93026957275508</v>
      </c>
      <c r="K31" s="734"/>
    </row>
    <row r="32" spans="1:11" ht="25.5" customHeight="1" x14ac:dyDescent="0.25">
      <c r="A32" s="771"/>
      <c r="B32" s="771"/>
      <c r="C32" s="771"/>
      <c r="D32" s="771"/>
      <c r="E32" s="771"/>
      <c r="F32" s="771"/>
      <c r="G32" s="771"/>
      <c r="H32" s="771"/>
      <c r="I32" s="771"/>
      <c r="J32" s="771"/>
      <c r="K32" s="734"/>
    </row>
    <row r="33" spans="1:11" ht="25.5" customHeight="1" x14ac:dyDescent="0.35">
      <c r="A33" s="759" t="s">
        <v>536</v>
      </c>
      <c r="B33" s="772"/>
      <c r="C33" s="772"/>
      <c r="D33" s="772"/>
      <c r="E33" s="772"/>
      <c r="F33" s="772"/>
      <c r="G33" s="772"/>
      <c r="H33" s="772"/>
      <c r="I33" s="772"/>
      <c r="J33" s="772"/>
      <c r="K33" s="734"/>
    </row>
    <row r="34" spans="1:11" ht="24" customHeight="1" thickBot="1" x14ac:dyDescent="0.4">
      <c r="A34" s="633" t="s">
        <v>612</v>
      </c>
      <c r="B34" s="641" t="s">
        <v>183</v>
      </c>
      <c r="C34" s="760">
        <f>'Table 3 - Rollover Baseline'!K13</f>
        <v>0.36160059301180886</v>
      </c>
      <c r="D34" s="761">
        <f>'Table 3 - Rollover Baseline'!L13</f>
        <v>0.53359824576183301</v>
      </c>
      <c r="E34" s="761">
        <f>'Table 3 - Rollover Baseline'!M13</f>
        <v>3.5009160855704935</v>
      </c>
      <c r="F34" s="761">
        <f>'Table 3 - Rollover Baseline'!N13</f>
        <v>0.47672359696522659</v>
      </c>
      <c r="G34" s="761">
        <f>'Table 3 - Rollover Baseline'!O13</f>
        <v>0.19880764851190785</v>
      </c>
      <c r="H34" s="761">
        <f>'Table 3 - Rollover Baseline'!P13</f>
        <v>0.23181985175169237</v>
      </c>
      <c r="I34" s="762">
        <f>'Table 3 - Rollover Baseline'!Q13</f>
        <v>0.54585442353814784</v>
      </c>
      <c r="J34" s="612">
        <f>SUM(C34:I34)</f>
        <v>5.8493204451111094</v>
      </c>
      <c r="K34" s="736">
        <f>(J20+J34)/J5</f>
        <v>5.615751773276248E-2</v>
      </c>
    </row>
    <row r="35" spans="1:11" ht="25.5" customHeight="1" thickBot="1" x14ac:dyDescent="0.4">
      <c r="A35" s="634" t="s">
        <v>514</v>
      </c>
      <c r="B35" s="644" t="s">
        <v>155</v>
      </c>
      <c r="C35" s="628">
        <f>'Table 9 - CIAG Schemes'!I32</f>
        <v>0.21709181379808518</v>
      </c>
      <c r="D35" s="629">
        <f>'Table 9 - CIAG Schemes'!J32</f>
        <v>0.21445094428356651</v>
      </c>
      <c r="E35" s="629">
        <f>'Table 9 - CIAG Schemes'!K32</f>
        <v>6.8843146092875604E-2</v>
      </c>
      <c r="F35" s="629">
        <f>'Table 9 - CIAG Schemes'!L32</f>
        <v>0.19656115625678855</v>
      </c>
      <c r="G35" s="629">
        <f>'Table 9 - CIAG Schemes'!M32</f>
        <v>0.13894477088972632</v>
      </c>
      <c r="H35" s="629">
        <f>'Table 9 - CIAG Schemes'!N32</f>
        <v>0.13071378343654574</v>
      </c>
      <c r="I35" s="630">
        <f>'Table 9 - CIAG Schemes'!O32</f>
        <v>2.8394385242411994E-2</v>
      </c>
      <c r="J35" s="631">
        <f t="shared" ref="J35:J38" si="10">SUM(C35:I35)</f>
        <v>0.99499999999999977</v>
      </c>
      <c r="K35" s="734"/>
    </row>
    <row r="36" spans="1:11" ht="25.5" hidden="1" customHeight="1" thickBot="1" x14ac:dyDescent="0.4">
      <c r="A36" s="594" t="s">
        <v>527</v>
      </c>
      <c r="B36" s="642"/>
      <c r="C36" s="620">
        <f t="shared" ref="C36:I36" si="11">C35+C20</f>
        <v>4.3224681307057784</v>
      </c>
      <c r="D36" s="621">
        <f t="shared" si="11"/>
        <v>4.9441280977348647</v>
      </c>
      <c r="E36" s="621">
        <f t="shared" si="11"/>
        <v>4.7735439520573681</v>
      </c>
      <c r="F36" s="621">
        <f t="shared" si="11"/>
        <v>5.3915188345072105</v>
      </c>
      <c r="G36" s="621">
        <f t="shared" si="11"/>
        <v>2.9457782053771355</v>
      </c>
      <c r="H36" s="621">
        <f t="shared" si="11"/>
        <v>3.1079482380402816</v>
      </c>
      <c r="I36" s="622">
        <f t="shared" si="11"/>
        <v>0.85383412033906514</v>
      </c>
      <c r="J36" s="623">
        <f>SUM(C36:I36)</f>
        <v>26.339219578761707</v>
      </c>
    </row>
    <row r="37" spans="1:11" ht="25.5" hidden="1" customHeight="1" thickBot="1" x14ac:dyDescent="0.4">
      <c r="A37" s="635" t="s">
        <v>516</v>
      </c>
      <c r="B37" s="643"/>
      <c r="C37" s="624">
        <f t="shared" ref="C37:J37" si="12">C36/C5</f>
        <v>4.4297493055011697E-2</v>
      </c>
      <c r="D37" s="625">
        <f t="shared" si="12"/>
        <v>4.708888464089684E-2</v>
      </c>
      <c r="E37" s="625">
        <f t="shared" si="12"/>
        <v>3.9278300899437804E-2</v>
      </c>
      <c r="F37" s="625">
        <f t="shared" si="12"/>
        <v>5.4716758766788227E-2</v>
      </c>
      <c r="G37" s="625">
        <f t="shared" si="12"/>
        <v>5.8011160828441571E-2</v>
      </c>
      <c r="H37" s="625">
        <f t="shared" si="12"/>
        <v>5.1687982294746505E-2</v>
      </c>
      <c r="I37" s="626">
        <f t="shared" si="12"/>
        <v>3.8958784382060491E-2</v>
      </c>
      <c r="J37" s="627">
        <f t="shared" si="12"/>
        <v>4.7418317684668893E-2</v>
      </c>
    </row>
    <row r="38" spans="1:11" ht="28.5" customHeight="1" thickBot="1" x14ac:dyDescent="0.4">
      <c r="A38" s="634" t="s">
        <v>515</v>
      </c>
      <c r="B38" s="644" t="s">
        <v>187</v>
      </c>
      <c r="C38" s="628">
        <f>'Table 9 - CIAG Schemes'!I50</f>
        <v>1.8410526898631103</v>
      </c>
      <c r="D38" s="629">
        <f>'Table 9 - CIAG Schemes'!J50</f>
        <v>0.42751679588476421</v>
      </c>
      <c r="E38" s="629">
        <f>'Table 9 - CIAG Schemes'!K50</f>
        <v>0.16025239226695237</v>
      </c>
      <c r="F38" s="629">
        <f>'Table 9 - CIAG Schemes'!L50</f>
        <v>0.58854865565681658</v>
      </c>
      <c r="G38" s="629">
        <f>'Table 9 - CIAG Schemes'!M50</f>
        <v>0.42651458922228203</v>
      </c>
      <c r="H38" s="629">
        <f>'Table 9 - CIAG Schemes'!N50</f>
        <v>0.92991875047501593</v>
      </c>
      <c r="I38" s="630">
        <f>'Table 9 - CIAG Schemes'!O50</f>
        <v>0.11019612663105792</v>
      </c>
      <c r="J38" s="631">
        <f t="shared" si="10"/>
        <v>4.484</v>
      </c>
    </row>
    <row r="39" spans="1:11" x14ac:dyDescent="0.25">
      <c r="A39" s="130"/>
      <c r="B39" s="130"/>
      <c r="C39" s="130"/>
      <c r="D39" s="130"/>
      <c r="E39" s="130"/>
      <c r="F39" s="130"/>
      <c r="G39" s="130"/>
      <c r="H39" s="130"/>
      <c r="I39" s="130"/>
      <c r="J39" s="130"/>
    </row>
    <row r="40" spans="1:11" x14ac:dyDescent="0.25">
      <c r="A40" s="130"/>
      <c r="B40" s="130"/>
      <c r="C40" s="130"/>
      <c r="D40" s="130"/>
      <c r="E40" s="130"/>
      <c r="F40" s="130"/>
      <c r="G40" s="130"/>
      <c r="H40" s="130"/>
      <c r="I40" s="130"/>
      <c r="J40" s="130"/>
    </row>
    <row r="41" spans="1:11" x14ac:dyDescent="0.25">
      <c r="A41" s="130"/>
      <c r="B41" s="130"/>
      <c r="C41" s="130"/>
      <c r="D41" s="130"/>
      <c r="E41" s="130"/>
      <c r="F41" s="130"/>
      <c r="G41" s="130"/>
      <c r="H41" s="130"/>
      <c r="I41" s="130"/>
      <c r="J41" s="130"/>
    </row>
  </sheetData>
  <mergeCells count="7">
    <mergeCell ref="A32:J32"/>
    <mergeCell ref="B33:J33"/>
    <mergeCell ref="A1:J1"/>
    <mergeCell ref="C2:J2"/>
    <mergeCell ref="A23:J23"/>
    <mergeCell ref="A28:J28"/>
    <mergeCell ref="A30:J3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2:R52"/>
  <sheetViews>
    <sheetView zoomScale="80" zoomScaleNormal="80" zoomScaleSheetLayoutView="76" workbookViewId="0">
      <selection sqref="A1:K41"/>
    </sheetView>
  </sheetViews>
  <sheetFormatPr defaultColWidth="19.140625" defaultRowHeight="12.75" outlineLevelCol="1" x14ac:dyDescent="0.25"/>
  <cols>
    <col min="1" max="1" width="15.42578125" style="2" customWidth="1"/>
    <col min="2" max="2" width="51.85546875" style="3" customWidth="1"/>
    <col min="3" max="3" width="11.5703125" style="6" customWidth="1"/>
    <col min="4" max="5" width="11.5703125" style="4" customWidth="1"/>
    <col min="6" max="6" width="11.5703125" style="7" customWidth="1"/>
    <col min="7" max="7" width="11.5703125" style="8" customWidth="1" outlineLevel="1"/>
    <col min="8" max="8" width="43.28515625" style="9" customWidth="1" outlineLevel="1"/>
    <col min="9" max="15" width="11.5703125" style="4" customWidth="1" outlineLevel="1"/>
    <col min="16" max="16" width="11.5703125" style="6" customWidth="1" outlineLevel="1"/>
    <col min="17" max="17" width="10" style="4" customWidth="1"/>
    <col min="18" max="16384" width="19.140625" style="4"/>
  </cols>
  <sheetData>
    <row r="2" spans="1:16" ht="26.25" x14ac:dyDescent="0.25">
      <c r="A2" s="10" t="s">
        <v>538</v>
      </c>
      <c r="B2" s="10"/>
      <c r="E2" s="13"/>
    </row>
    <row r="3" spans="1:16" ht="26.25" x14ac:dyDescent="0.4">
      <c r="A3" s="14" t="s">
        <v>14</v>
      </c>
      <c r="B3" s="14"/>
      <c r="E3" s="15" t="s">
        <v>162</v>
      </c>
      <c r="G3" s="18"/>
      <c r="H3" s="19"/>
      <c r="I3" s="16" t="s">
        <v>15</v>
      </c>
      <c r="J3" s="17"/>
      <c r="K3" s="17"/>
      <c r="L3" s="17"/>
      <c r="M3" s="17"/>
      <c r="N3" s="17"/>
      <c r="O3" s="17"/>
      <c r="P3" s="20"/>
    </row>
    <row r="4" spans="1:16" ht="18" customHeight="1" x14ac:dyDescent="0.2">
      <c r="A4" s="21"/>
      <c r="B4" s="21"/>
      <c r="I4" s="23"/>
      <c r="J4" s="23"/>
      <c r="K4" s="23"/>
      <c r="L4" s="23"/>
      <c r="M4" s="23"/>
      <c r="N4" s="23"/>
      <c r="O4" s="23"/>
      <c r="P4" s="24"/>
    </row>
    <row r="5" spans="1:16" ht="18" customHeight="1" x14ac:dyDescent="0.25">
      <c r="A5" s="25" t="s">
        <v>520</v>
      </c>
      <c r="B5" s="25"/>
    </row>
    <row r="6" spans="1:16" ht="18.75" customHeight="1" x14ac:dyDescent="0.25">
      <c r="B6" s="61"/>
    </row>
    <row r="7" spans="1:16" ht="13.5" thickBot="1" x14ac:dyDescent="0.3">
      <c r="B7" s="3" t="s">
        <v>154</v>
      </c>
      <c r="F7" s="83"/>
    </row>
    <row r="8" spans="1:16" ht="15" x14ac:dyDescent="0.25">
      <c r="A8" s="780" t="s">
        <v>493</v>
      </c>
      <c r="B8" s="149"/>
      <c r="C8" s="150"/>
      <c r="D8" s="151"/>
      <c r="E8" s="151"/>
      <c r="F8" s="132"/>
      <c r="G8" s="152"/>
      <c r="H8" s="152"/>
      <c r="I8" s="153" t="s">
        <v>0</v>
      </c>
      <c r="J8" s="154" t="s">
        <v>18</v>
      </c>
      <c r="K8" s="146" t="s">
        <v>19</v>
      </c>
      <c r="L8" s="154" t="s">
        <v>20</v>
      </c>
      <c r="M8" s="154" t="s">
        <v>21</v>
      </c>
      <c r="N8" s="155" t="s">
        <v>22</v>
      </c>
      <c r="O8" s="154" t="s">
        <v>5</v>
      </c>
      <c r="P8" s="154" t="s">
        <v>6</v>
      </c>
    </row>
    <row r="9" spans="1:16" ht="46.5" customHeight="1" x14ac:dyDescent="0.25">
      <c r="A9" s="781"/>
      <c r="B9" s="355" t="s">
        <v>528</v>
      </c>
      <c r="C9" s="38" t="s">
        <v>26</v>
      </c>
      <c r="D9" s="38" t="s">
        <v>151</v>
      </c>
      <c r="E9" s="38" t="s">
        <v>476</v>
      </c>
      <c r="F9" s="132"/>
      <c r="G9" s="157" t="s">
        <v>28</v>
      </c>
      <c r="H9" s="157"/>
      <c r="I9" s="158"/>
      <c r="J9" s="159" t="s">
        <v>29</v>
      </c>
      <c r="K9" s="147" t="s">
        <v>30</v>
      </c>
      <c r="L9" s="159" t="s">
        <v>31</v>
      </c>
      <c r="M9" s="160" t="s">
        <v>32</v>
      </c>
      <c r="N9" s="160" t="s">
        <v>33</v>
      </c>
      <c r="O9" s="159"/>
      <c r="P9" s="159"/>
    </row>
    <row r="10" spans="1:16" ht="15.75" thickBot="1" x14ac:dyDescent="0.3">
      <c r="A10" s="782"/>
      <c r="B10" s="161"/>
      <c r="C10" s="162" t="s">
        <v>9</v>
      </c>
      <c r="D10" s="163" t="s">
        <v>9</v>
      </c>
      <c r="E10" s="163" t="s">
        <v>9</v>
      </c>
      <c r="F10" s="132"/>
      <c r="G10" s="164"/>
      <c r="H10" s="164"/>
      <c r="I10" s="165" t="s">
        <v>7</v>
      </c>
      <c r="J10" s="165" t="s">
        <v>7</v>
      </c>
      <c r="K10" s="166" t="s">
        <v>7</v>
      </c>
      <c r="L10" s="166" t="s">
        <v>7</v>
      </c>
      <c r="M10" s="167" t="s">
        <v>7</v>
      </c>
      <c r="N10" s="165" t="s">
        <v>7</v>
      </c>
      <c r="O10" s="166" t="s">
        <v>8</v>
      </c>
      <c r="P10" s="166"/>
    </row>
    <row r="11" spans="1:16" ht="18" customHeight="1" x14ac:dyDescent="0.25">
      <c r="A11" s="510">
        <v>22.184999999999999</v>
      </c>
      <c r="B11" s="352" t="s">
        <v>416</v>
      </c>
      <c r="C11" s="512">
        <v>0.48</v>
      </c>
      <c r="D11" s="518">
        <v>0.48</v>
      </c>
      <c r="E11" s="518">
        <v>0.48</v>
      </c>
      <c r="F11" s="134"/>
      <c r="G11" s="135">
        <v>322</v>
      </c>
      <c r="H11" s="136" t="str">
        <f>CONCATENATE(VLOOKUP($G11, '[2]Commissioner Splits'!$A$4:$C$351, 2, FALSE), " - ", VLOOKUP($G11, '[2]Commissioner Splits'!$A$4:$C$351, 3, FALSE))</f>
        <v>Unallocated - All Wales Population</v>
      </c>
      <c r="I11" s="133">
        <f>VLOOKUP($G11, '[2]Commissioner Splits'!$A$4:$J$351, 5, FALSE)*$C11</f>
        <v>7.9920000000000005E-2</v>
      </c>
      <c r="J11" s="133">
        <f>VLOOKUP($G11, '[2]Commissioner Splits'!$A$4:$J$351, 7, FALSE)*$C11</f>
        <v>9.0240000000000001E-2</v>
      </c>
      <c r="K11" s="133">
        <f>VLOOKUP($G11, '[2]Commissioner Splits'!$A$4:$J$351, 10, FALSE)*$C11</f>
        <v>0.10953599999999999</v>
      </c>
      <c r="L11" s="133">
        <f>VLOOKUP($G11, '[2]Commissioner Splits'!$A$4:$J$351, 4, FALSE)*$C11</f>
        <v>7.1807999999999997E-2</v>
      </c>
      <c r="M11" s="133">
        <f>VLOOKUP($G11, '[2]Commissioner Splits'!$A$4:$J$351, 6, FALSE)*$C11</f>
        <v>4.6463999999999998E-2</v>
      </c>
      <c r="N11" s="133">
        <f>VLOOKUP($G11, '[2]Commissioner Splits'!$A$4:$J$351, 8, FALSE)*$C11</f>
        <v>6.0672000000000004E-2</v>
      </c>
      <c r="O11" s="133">
        <f>VLOOKUP($G11, '[2]Commissioner Splits'!$A$4:$J$351, 9, FALSE)*$C11</f>
        <v>2.1359999999999997E-2</v>
      </c>
      <c r="P11" s="137">
        <f t="shared" ref="P11:P14" si="0">SUM(I11:O11)</f>
        <v>0.48</v>
      </c>
    </row>
    <row r="12" spans="1:16" ht="18" customHeight="1" x14ac:dyDescent="0.25">
      <c r="A12" s="511">
        <v>21.43</v>
      </c>
      <c r="B12" s="352" t="s">
        <v>494</v>
      </c>
      <c r="C12" s="513">
        <f>0.556/2</f>
        <v>0.27800000000000002</v>
      </c>
      <c r="D12" s="519">
        <v>0.55600000000000005</v>
      </c>
      <c r="E12" s="519">
        <v>0.55600000000000005</v>
      </c>
      <c r="F12" s="134"/>
      <c r="G12" s="139">
        <v>323</v>
      </c>
      <c r="H12" s="140" t="str">
        <f>CONCATENATE(VLOOKUP($G12, '[2]Commissioner Splits'!$A$4:$C$351, 2, FALSE), " - ", VLOOKUP($G12, '[2]Commissioner Splits'!$A$4:$C$351, 3, FALSE))</f>
        <v>Unallocated - South Wales Population</v>
      </c>
      <c r="I12" s="52">
        <f>VLOOKUP($G12, '[2]Commissioner Splits'!$A$4:$J$351, 5, FALSE)*$C12</f>
        <v>6.2367120233552523E-2</v>
      </c>
      <c r="J12" s="52">
        <f>VLOOKUP($G12, '[2]Commissioner Splits'!$A$4:$J$351, 7, FALSE)*$C12</f>
        <v>6.9439350099673849E-2</v>
      </c>
      <c r="K12" s="133">
        <f>VLOOKUP($G12, '[2]Commissioner Splits'!$A$4:$J$351, 10, FALSE)*$C12</f>
        <v>0</v>
      </c>
      <c r="L12" s="133">
        <f>VLOOKUP($G12, '[2]Commissioner Splits'!$A$4:$J$351, 4, FALSE)*$C12</f>
        <v>5.6878590196493689E-2</v>
      </c>
      <c r="M12" s="133">
        <f>VLOOKUP($G12, '[2]Commissioner Splits'!$A$4:$J$351, 6, FALSE)*$C12</f>
        <v>3.5301793696143537E-2</v>
      </c>
      <c r="N12" s="133">
        <f>VLOOKUP($G12, '[2]Commissioner Splits'!$A$4:$J$351, 8, FALSE)*$C12</f>
        <v>4.6008201708855369E-2</v>
      </c>
      <c r="O12" s="133">
        <f>VLOOKUP($G12, '[2]Commissioner Splits'!$A$4:$J$351, 9, FALSE)*$C12</f>
        <v>8.0049440652810652E-3</v>
      </c>
      <c r="P12" s="137">
        <f t="shared" si="0"/>
        <v>0.27800000000000002</v>
      </c>
    </row>
    <row r="13" spans="1:16" ht="18" customHeight="1" x14ac:dyDescent="0.25">
      <c r="A13" s="511">
        <v>21.43</v>
      </c>
      <c r="B13" s="352" t="s">
        <v>495</v>
      </c>
      <c r="C13" s="513">
        <v>0.27800000000000002</v>
      </c>
      <c r="D13" s="519">
        <v>0.55600000000000005</v>
      </c>
      <c r="E13" s="519">
        <v>0.55600000000000005</v>
      </c>
      <c r="F13" s="134"/>
      <c r="G13" s="139">
        <v>323</v>
      </c>
      <c r="H13" s="583" t="str">
        <f>CONCATENATE(VLOOKUP($G13, '[2]Commissioner Splits'!$A$4:$C$351, 2, FALSE), " - ", VLOOKUP($G13, '[2]Commissioner Splits'!$A$4:$C$351, 3, FALSE))</f>
        <v>Unallocated - South Wales Population</v>
      </c>
      <c r="I13" s="52">
        <f>VLOOKUP($G13, '[2]Commissioner Splits'!$A$4:$J$351, 5, FALSE)*$C13</f>
        <v>6.2367120233552523E-2</v>
      </c>
      <c r="J13" s="52">
        <f>VLOOKUP($G13, '[2]Commissioner Splits'!$A$4:$J$351, 7, FALSE)*$C13</f>
        <v>6.9439350099673849E-2</v>
      </c>
      <c r="K13" s="133">
        <f>VLOOKUP($G13, '[2]Commissioner Splits'!$A$4:$J$351, 10, FALSE)*$C13</f>
        <v>0</v>
      </c>
      <c r="L13" s="133">
        <f>VLOOKUP($G13, '[2]Commissioner Splits'!$A$4:$J$351, 4, FALSE)*$C13</f>
        <v>5.6878590196493689E-2</v>
      </c>
      <c r="M13" s="133">
        <f>VLOOKUP($G13, '[2]Commissioner Splits'!$A$4:$J$351, 6, FALSE)*$C13</f>
        <v>3.5301793696143537E-2</v>
      </c>
      <c r="N13" s="133">
        <f>VLOOKUP($G13, '[2]Commissioner Splits'!$A$4:$J$351, 8, FALSE)*$C13</f>
        <v>4.6008201708855369E-2</v>
      </c>
      <c r="O13" s="133">
        <f>VLOOKUP($G13, '[2]Commissioner Splits'!$A$4:$J$351, 9, FALSE)*$C13</f>
        <v>8.0049440652810652E-3</v>
      </c>
      <c r="P13" s="137">
        <f t="shared" si="0"/>
        <v>0.27800000000000002</v>
      </c>
    </row>
    <row r="14" spans="1:16" ht="18" customHeight="1" x14ac:dyDescent="0.25">
      <c r="A14" s="510">
        <v>21.17</v>
      </c>
      <c r="B14" s="353" t="s">
        <v>489</v>
      </c>
      <c r="C14" s="513">
        <v>0.06</v>
      </c>
      <c r="D14" s="519">
        <v>0.06</v>
      </c>
      <c r="E14" s="519">
        <v>0.06</v>
      </c>
      <c r="F14" s="134"/>
      <c r="G14" s="138">
        <v>322</v>
      </c>
      <c r="H14" s="141" t="str">
        <f>CONCATENATE(VLOOKUP($G14, '[2]Commissioner Splits'!$A$4:$C$351, 2, FALSE), " - ", VLOOKUP($G14, '[2]Commissioner Splits'!$A$4:$C$351, 3, FALSE))</f>
        <v>Unallocated - All Wales Population</v>
      </c>
      <c r="I14" s="52">
        <f>VLOOKUP($G14, '[2]Commissioner Splits'!$A$4:$J$351, 5, FALSE)*$C14</f>
        <v>9.9900000000000006E-3</v>
      </c>
      <c r="J14" s="52">
        <f>VLOOKUP($G14, '[2]Commissioner Splits'!$A$4:$J$351, 7, FALSE)*$C14</f>
        <v>1.128E-2</v>
      </c>
      <c r="K14" s="133">
        <f>VLOOKUP($G14, '[2]Commissioner Splits'!$A$4:$J$351, 10, FALSE)*$C14</f>
        <v>1.3691999999999999E-2</v>
      </c>
      <c r="L14" s="133">
        <f>VLOOKUP($G14, '[2]Commissioner Splits'!$A$4:$J$351, 4, FALSE)*$C14</f>
        <v>8.9759999999999996E-3</v>
      </c>
      <c r="M14" s="133">
        <f>VLOOKUP($G14, '[2]Commissioner Splits'!$A$4:$J$351, 6, FALSE)*$C14</f>
        <v>5.8079999999999998E-3</v>
      </c>
      <c r="N14" s="133">
        <f>VLOOKUP($G14, '[2]Commissioner Splits'!$A$4:$J$351, 8, FALSE)*$C14</f>
        <v>7.5840000000000005E-3</v>
      </c>
      <c r="O14" s="133">
        <f>VLOOKUP($G14, '[2]Commissioner Splits'!$A$4:$J$351, 9, FALSE)*$C14</f>
        <v>2.6699999999999996E-3</v>
      </c>
      <c r="P14" s="137">
        <f t="shared" si="0"/>
        <v>0.06</v>
      </c>
    </row>
    <row r="15" spans="1:16" ht="18" customHeight="1" x14ac:dyDescent="0.25">
      <c r="A15" s="511">
        <v>21</v>
      </c>
      <c r="B15" s="354" t="s">
        <v>490</v>
      </c>
      <c r="C15" s="513">
        <v>0.4</v>
      </c>
      <c r="D15" s="519">
        <v>0.4</v>
      </c>
      <c r="E15" s="519">
        <v>0.4</v>
      </c>
      <c r="F15" s="134"/>
      <c r="G15" s="138">
        <v>30</v>
      </c>
      <c r="H15" s="141" t="str">
        <f>CONCATENATE(VLOOKUP($G15, '[2]Commissioner Splits'!$A$4:$C$351, 2, FALSE), " - ", VLOOKUP($G15, '[2]Commissioner Splits'!$A$4:$C$351, 3, FALSE))</f>
        <v>Cardiff &amp; Vale - ALAS</v>
      </c>
      <c r="I15" s="52">
        <f>VLOOKUP($G15, '[2]Commissioner Splits'!$A$4:$J$351, 5, FALSE)*$C15</f>
        <v>7.6544765447654484E-2</v>
      </c>
      <c r="J15" s="52">
        <f>VLOOKUP($G15, '[2]Commissioner Splits'!$A$4:$J$351, 7, FALSE)*$C15</f>
        <v>8.7752877528775294E-2</v>
      </c>
      <c r="K15" s="133">
        <f>VLOOKUP($G15, '[2]Commissioner Splits'!$A$4:$J$351, 10, FALSE)*$C15</f>
        <v>6.9160691606916071E-3</v>
      </c>
      <c r="L15" s="133">
        <f>VLOOKUP($G15, '[2]Commissioner Splits'!$A$4:$J$351, 4, FALSE)*$C15</f>
        <v>0.11785317853178533</v>
      </c>
      <c r="M15" s="133">
        <f>VLOOKUP($G15, '[2]Commissioner Splits'!$A$4:$J$351, 6, FALSE)*$C15</f>
        <v>5.0928509285092849E-2</v>
      </c>
      <c r="N15" s="133">
        <f>VLOOKUP($G15, '[2]Commissioner Splits'!$A$4:$J$351, 8, FALSE)*$C15</f>
        <v>5.0124501245012457E-2</v>
      </c>
      <c r="O15" s="133">
        <f>VLOOKUP($G15, '[2]Commissioner Splits'!$A$4:$J$351, 9, FALSE)*$C15</f>
        <v>9.8800988009880106E-3</v>
      </c>
      <c r="P15" s="137">
        <f>SUM(I15:O15)</f>
        <v>0.4</v>
      </c>
    </row>
    <row r="16" spans="1:16" ht="18" customHeight="1" x14ac:dyDescent="0.25">
      <c r="A16" s="510">
        <v>20.96</v>
      </c>
      <c r="B16" s="352" t="s">
        <v>413</v>
      </c>
      <c r="C16" s="513">
        <f>50*0.017</f>
        <v>0.85000000000000009</v>
      </c>
      <c r="D16" s="519">
        <v>1.36</v>
      </c>
      <c r="E16" s="519">
        <v>1.36</v>
      </c>
      <c r="F16" s="132"/>
      <c r="G16" s="181">
        <v>322</v>
      </c>
      <c r="H16" s="182" t="str">
        <f>CONCATENATE(VLOOKUP($G16, '[2]Commissioner Splits'!$A$4:$C$351, 2, FALSE), " - ", VLOOKUP($G16, '[2]Commissioner Splits'!$A$4:$C$351, 3, FALSE))</f>
        <v>Unallocated - All Wales Population</v>
      </c>
      <c r="I16" s="183">
        <f>VLOOKUP($G16, '[2]Commissioner Splits'!$A$4:$J$351, 5, FALSE)*$C16</f>
        <v>0.14152500000000001</v>
      </c>
      <c r="J16" s="183">
        <f>VLOOKUP($G16, '[2]Commissioner Splits'!$A$4:$J$351, 7, FALSE)*$C16</f>
        <v>0.15980000000000003</v>
      </c>
      <c r="K16" s="183">
        <f>VLOOKUP($G16, '[2]Commissioner Splits'!$A$4:$J$351, 10, FALSE)*$C16</f>
        <v>0.19397</v>
      </c>
      <c r="L16" s="183">
        <f>VLOOKUP($G16, '[2]Commissioner Splits'!$A$4:$J$351, 4, FALSE)*$C16</f>
        <v>0.12716000000000002</v>
      </c>
      <c r="M16" s="183">
        <f>VLOOKUP($G16, '[2]Commissioner Splits'!$A$4:$J$351, 6, FALSE)*$C16</f>
        <v>8.2280000000000006E-2</v>
      </c>
      <c r="N16" s="183">
        <f>VLOOKUP($G16, '[2]Commissioner Splits'!$A$4:$J$351, 8, FALSE)*$C16</f>
        <v>0.10744000000000002</v>
      </c>
      <c r="O16" s="183">
        <f>VLOOKUP($G16, '[2]Commissioner Splits'!$A$4:$J$351, 9, FALSE)*$C16</f>
        <v>3.7825000000000004E-2</v>
      </c>
      <c r="P16" s="184">
        <f>SUM(I16:O16)</f>
        <v>0.85000000000000009</v>
      </c>
    </row>
    <row r="17" spans="1:16" ht="18" customHeight="1" x14ac:dyDescent="0.25">
      <c r="A17" s="511">
        <v>20.86</v>
      </c>
      <c r="B17" s="352" t="s">
        <v>533</v>
      </c>
      <c r="C17" s="513"/>
      <c r="D17" s="519">
        <v>0.3</v>
      </c>
      <c r="E17" s="519">
        <v>0.6</v>
      </c>
      <c r="F17" s="132"/>
      <c r="G17" s="181">
        <v>322</v>
      </c>
      <c r="H17" s="182" t="str">
        <f>CONCATENATE(VLOOKUP($G17, '[2]Commissioner Splits'!$A$4:$C$351, 2, FALSE), " - ", VLOOKUP($G17, '[2]Commissioner Splits'!$A$4:$C$351, 3, FALSE))</f>
        <v>Unallocated - All Wales Population</v>
      </c>
      <c r="I17" s="183">
        <f>VLOOKUP($G17, '[2]Commissioner Splits'!$A$4:$J$351, 5, FALSE)*$C17</f>
        <v>0</v>
      </c>
      <c r="J17" s="183">
        <f>VLOOKUP($G17, '[2]Commissioner Splits'!$A$4:$J$351, 7, FALSE)*$C17</f>
        <v>0</v>
      </c>
      <c r="K17" s="183">
        <f>VLOOKUP($G17, '[2]Commissioner Splits'!$A$4:$J$351, 10, FALSE)*$C17</f>
        <v>0</v>
      </c>
      <c r="L17" s="183">
        <f>VLOOKUP($G17, '[2]Commissioner Splits'!$A$4:$J$351, 4, FALSE)*$C17</f>
        <v>0</v>
      </c>
      <c r="M17" s="183">
        <f>VLOOKUP($G17, '[2]Commissioner Splits'!$A$4:$J$351, 6, FALSE)*$C17</f>
        <v>0</v>
      </c>
      <c r="N17" s="183">
        <f>VLOOKUP($G17, '[2]Commissioner Splits'!$A$4:$J$351, 8, FALSE)*$C17</f>
        <v>0</v>
      </c>
      <c r="O17" s="183">
        <f>VLOOKUP($G17, '[2]Commissioner Splits'!$A$4:$J$351, 9, FALSE)*$C17</f>
        <v>0</v>
      </c>
      <c r="P17" s="184">
        <f t="shared" ref="P17:P19" si="1">SUM(I17:O17)</f>
        <v>0</v>
      </c>
    </row>
    <row r="18" spans="1:16" ht="18" customHeight="1" x14ac:dyDescent="0.25">
      <c r="A18" s="510">
        <v>20.754999999999999</v>
      </c>
      <c r="B18" s="352" t="s">
        <v>491</v>
      </c>
      <c r="C18" s="513">
        <v>0.05</v>
      </c>
      <c r="D18" s="519">
        <v>0.05</v>
      </c>
      <c r="E18" s="519">
        <v>0.05</v>
      </c>
      <c r="F18" s="132"/>
      <c r="G18" s="185">
        <v>322</v>
      </c>
      <c r="H18" s="182" t="str">
        <f>CONCATENATE(VLOOKUP($G18, '[2]Commissioner Splits'!$A$4:$C$351, 2, FALSE), " - ", VLOOKUP($G18, '[2]Commissioner Splits'!$A$4:$C$351, 3, FALSE))</f>
        <v>Unallocated - All Wales Population</v>
      </c>
      <c r="I18" s="183">
        <f>VLOOKUP($G18, '[2]Commissioner Splits'!$A$4:$J$351, 5, FALSE)*$C18</f>
        <v>8.3250000000000008E-3</v>
      </c>
      <c r="J18" s="183">
        <f>VLOOKUP($G18, '[2]Commissioner Splits'!$A$4:$J$351, 7, FALSE)*$C18</f>
        <v>9.4000000000000004E-3</v>
      </c>
      <c r="K18" s="183">
        <f>VLOOKUP($G18, '[2]Commissioner Splits'!$A$4:$J$351, 10, FALSE)*$C18</f>
        <v>1.141E-2</v>
      </c>
      <c r="L18" s="183">
        <f>VLOOKUP($G18, '[2]Commissioner Splits'!$A$4:$J$351, 4, FALSE)*$C18</f>
        <v>7.4800000000000005E-3</v>
      </c>
      <c r="M18" s="183">
        <f>VLOOKUP($G18, '[2]Commissioner Splits'!$A$4:$J$351, 6, FALSE)*$C18</f>
        <v>4.8400000000000006E-3</v>
      </c>
      <c r="N18" s="183">
        <f>VLOOKUP($G18, '[2]Commissioner Splits'!$A$4:$J$351, 8, FALSE)*$C18</f>
        <v>6.320000000000001E-3</v>
      </c>
      <c r="O18" s="183">
        <f>VLOOKUP($G18, '[2]Commissioner Splits'!$A$4:$J$351, 9, FALSE)*$C18</f>
        <v>2.225E-3</v>
      </c>
      <c r="P18" s="184">
        <f t="shared" si="1"/>
        <v>0.05</v>
      </c>
    </row>
    <row r="19" spans="1:16" ht="18" customHeight="1" thickBot="1" x14ac:dyDescent="0.3">
      <c r="A19" s="547">
        <v>20.149999999999999</v>
      </c>
      <c r="B19" s="352" t="s">
        <v>492</v>
      </c>
      <c r="C19" s="548">
        <f>20*0.007</f>
        <v>0.14000000000000001</v>
      </c>
      <c r="D19" s="549">
        <v>0.14000000000000001</v>
      </c>
      <c r="E19" s="549">
        <v>0.14000000000000001</v>
      </c>
      <c r="F19" s="132"/>
      <c r="G19" s="185">
        <v>323</v>
      </c>
      <c r="H19" s="556" t="str">
        <f>CONCATENATE(VLOOKUP($G19, '[2]Commissioner Splits'!$A$4:$C$351, 2, FALSE), " - ", VLOOKUP($G19, '[2]Commissioner Splits'!$A$4:$C$351, 3, FALSE))</f>
        <v>Unallocated - South Wales Population</v>
      </c>
      <c r="I19" s="557">
        <f>VLOOKUP($G19, '[2]Commissioner Splits'!$A$4:$J$351, 5, FALSE)*$C19</f>
        <v>3.1407902275889757E-2</v>
      </c>
      <c r="J19" s="557">
        <f>VLOOKUP($G19, '[2]Commissioner Splits'!$A$4:$J$351, 7, FALSE)*$C19</f>
        <v>3.4969456884727836E-2</v>
      </c>
      <c r="K19" s="557">
        <f>VLOOKUP($G19, '[2]Commissioner Splits'!$A$4:$J$351, 10, FALSE)*$C19</f>
        <v>0</v>
      </c>
      <c r="L19" s="557">
        <f>VLOOKUP($G19, '[2]Commissioner Splits'!$A$4:$J$351, 4, FALSE)*$C19</f>
        <v>2.8643894343557973E-2</v>
      </c>
      <c r="M19" s="557">
        <f>VLOOKUP($G19, '[2]Commissioner Splits'!$A$4:$J$351, 6, FALSE)*$C19</f>
        <v>1.7777881717482357E-2</v>
      </c>
      <c r="N19" s="557">
        <f>VLOOKUP($G19, '[2]Commissioner Splits'!$A$4:$J$351, 8, FALSE)*$C19</f>
        <v>2.3169597982876804E-2</v>
      </c>
      <c r="O19" s="557">
        <f>VLOOKUP($G19, '[2]Commissioner Splits'!$A$4:$J$351, 9, FALSE)*$C19</f>
        <v>4.0312667954652843E-3</v>
      </c>
      <c r="P19" s="558">
        <f t="shared" si="1"/>
        <v>0.14000000000000001</v>
      </c>
    </row>
    <row r="20" spans="1:16" ht="18" customHeight="1" x14ac:dyDescent="0.25">
      <c r="A20" s="550">
        <v>17.72</v>
      </c>
      <c r="B20" s="551" t="s">
        <v>507</v>
      </c>
      <c r="C20" s="552">
        <v>0.15</v>
      </c>
      <c r="D20" s="552">
        <v>0.15</v>
      </c>
      <c r="E20" s="552">
        <v>0.15</v>
      </c>
      <c r="F20" s="132"/>
      <c r="G20" s="559">
        <v>24</v>
      </c>
      <c r="H20" s="560" t="str">
        <f>CONCATENATE(VLOOKUP($G20, '[2]Commissioner Splits'!$A$4:$C$351, 2, FALSE), " - ", VLOOKUP($G20, '[2]Commissioner Splits'!$A$4:$C$351, 3, FALSE))</f>
        <v>Cardiff &amp; Vale - Neurosurgery</v>
      </c>
      <c r="I20" s="561">
        <f>VLOOKUP($G20, '[2]Commissioner Splits'!$A$4:$J$351, 5, FALSE)*$C20</f>
        <v>3.4379113578935576E-2</v>
      </c>
      <c r="J20" s="561">
        <f>VLOOKUP($G20, '[2]Commissioner Splits'!$A$4:$J$351, 7, FALSE)*$C20</f>
        <v>3.647410905671019E-2</v>
      </c>
      <c r="K20" s="561">
        <f>VLOOKUP($G20, '[2]Commissioner Splits'!$A$4:$J$351, 10, FALSE)*$C20</f>
        <v>1.5325843715024491E-4</v>
      </c>
      <c r="L20" s="561">
        <f>VLOOKUP($G20, '[2]Commissioner Splits'!$A$4:$J$351, 4, FALSE)*$C20</f>
        <v>3.5836641607193034E-2</v>
      </c>
      <c r="M20" s="561">
        <f>VLOOKUP($G20, '[2]Commissioner Splits'!$A$4:$J$351, 6, FALSE)*$C20</f>
        <v>2.2946982982756194E-2</v>
      </c>
      <c r="N20" s="561">
        <f>VLOOKUP($G20, '[2]Commissioner Splits'!$A$4:$J$351, 8, FALSE)*$C20</f>
        <v>1.8013035762677997E-2</v>
      </c>
      <c r="O20" s="561">
        <f>VLOOKUP($G20, '[2]Commissioner Splits'!$A$4:$J$351, 9, FALSE)*$C20</f>
        <v>2.1968585745767394E-3</v>
      </c>
      <c r="P20" s="562">
        <f>SUM(I20:O20)</f>
        <v>0.14999999999999997</v>
      </c>
    </row>
    <row r="21" spans="1:16" ht="18" customHeight="1" thickBot="1" x14ac:dyDescent="0.3">
      <c r="A21" s="553">
        <v>17.14</v>
      </c>
      <c r="B21" s="554" t="s">
        <v>508</v>
      </c>
      <c r="C21" s="555">
        <v>0.27500000000000002</v>
      </c>
      <c r="D21" s="555">
        <v>0.55000000000000004</v>
      </c>
      <c r="E21" s="555">
        <v>0.55000000000000004</v>
      </c>
      <c r="F21" s="132"/>
      <c r="G21" s="563">
        <v>27</v>
      </c>
      <c r="H21" s="564" t="str">
        <f>CONCATENATE(VLOOKUP($G21, '[2]Commissioner Splits'!$A$4:$C$351, 2, FALSE), " - ", VLOOKUP($G21, '[2]Commissioner Splits'!$A$4:$C$351, 3, FALSE))</f>
        <v>Cardiff &amp; Vale - PICU BH</v>
      </c>
      <c r="I21" s="565">
        <f>VLOOKUP($G21, '[2]Commissioner Splits'!$A$4:$J$351, 5, FALSE)*$C21</f>
        <v>7.0220547794522067E-2</v>
      </c>
      <c r="J21" s="565">
        <f>VLOOKUP($G21, '[2]Commissioner Splits'!$A$4:$J$351, 7, FALSE)*$C21</f>
        <v>7.6102738972610273E-2</v>
      </c>
      <c r="K21" s="565">
        <f>VLOOKUP($G21, '[2]Commissioner Splits'!$A$4:$J$351, 10, FALSE)*$C21</f>
        <v>0</v>
      </c>
      <c r="L21" s="565">
        <f>VLOOKUP($G21, '[2]Commissioner Splits'!$A$4:$J$351, 4, FALSE)*$C21</f>
        <v>5.0368496315036849E-2</v>
      </c>
      <c r="M21" s="565">
        <f>VLOOKUP($G21, '[2]Commissioner Splits'!$A$4:$J$351, 6, FALSE)*$C21</f>
        <v>3.1250687493125068E-2</v>
      </c>
      <c r="N21" s="565">
        <f>VLOOKUP($G21, '[2]Commissioner Splits'!$A$4:$J$351, 8, FALSE)*$C21</f>
        <v>4.6139038609613915E-2</v>
      </c>
      <c r="O21" s="565">
        <f>VLOOKUP($G21, '[2]Commissioner Splits'!$A$4:$J$351, 9, FALSE)*$C21</f>
        <v>9.1849081509184916E-4</v>
      </c>
      <c r="P21" s="566">
        <f>SUM(I21:O21)</f>
        <v>0.27500000000000002</v>
      </c>
    </row>
    <row r="22" spans="1:16" ht="22.5" customHeight="1" thickBot="1" x14ac:dyDescent="0.3">
      <c r="A22" s="144"/>
      <c r="B22" s="143" t="s">
        <v>6</v>
      </c>
      <c r="C22" s="145">
        <f>SUM(C11:C21)</f>
        <v>2.9609999999999999</v>
      </c>
      <c r="D22" s="145">
        <f t="shared" ref="D22:E22" si="2">SUM(D11:D21)</f>
        <v>4.6019999999999994</v>
      </c>
      <c r="E22" s="145">
        <f t="shared" si="2"/>
        <v>4.9019999999999992</v>
      </c>
      <c r="F22" s="132"/>
      <c r="G22" s="145"/>
      <c r="H22" s="145">
        <f>SUM(H11:H12)</f>
        <v>0</v>
      </c>
      <c r="I22" s="145">
        <f>SUM(I11:I21)</f>
        <v>0.57704656956410694</v>
      </c>
      <c r="J22" s="145">
        <f t="shared" ref="J22:P22" si="3">SUM(J11:J21)</f>
        <v>0.64489788264217141</v>
      </c>
      <c r="K22" s="145">
        <f t="shared" si="3"/>
        <v>0.33567732759784186</v>
      </c>
      <c r="L22" s="145">
        <f t="shared" si="3"/>
        <v>0.56188339119056063</v>
      </c>
      <c r="M22" s="145">
        <f t="shared" si="3"/>
        <v>0.33289964887074353</v>
      </c>
      <c r="N22" s="145">
        <f t="shared" si="3"/>
        <v>0.41147857701789198</v>
      </c>
      <c r="O22" s="145">
        <f t="shared" si="3"/>
        <v>9.7116603116684019E-2</v>
      </c>
      <c r="P22" s="145">
        <f t="shared" si="3"/>
        <v>2.9609999999999999</v>
      </c>
    </row>
    <row r="23" spans="1:16" ht="22.5" customHeight="1" thickBot="1" x14ac:dyDescent="0.3">
      <c r="A23" s="357"/>
      <c r="B23" s="358" t="s">
        <v>155</v>
      </c>
      <c r="C23" s="359"/>
      <c r="D23" s="359"/>
      <c r="E23" s="359"/>
      <c r="F23" s="132"/>
      <c r="G23" s="359"/>
      <c r="H23" s="359"/>
      <c r="I23" s="359"/>
      <c r="J23" s="359"/>
      <c r="K23" s="359"/>
      <c r="L23" s="359"/>
      <c r="M23" s="359"/>
      <c r="N23" s="359"/>
      <c r="O23" s="359"/>
      <c r="P23" s="359"/>
    </row>
    <row r="24" spans="1:16" ht="22.5" customHeight="1" x14ac:dyDescent="0.25">
      <c r="A24" s="148"/>
      <c r="B24" s="149"/>
      <c r="C24" s="150"/>
      <c r="D24" s="151"/>
      <c r="E24" s="151"/>
      <c r="F24" s="132"/>
      <c r="G24" s="152"/>
      <c r="H24" s="152"/>
      <c r="I24" s="153" t="s">
        <v>0</v>
      </c>
      <c r="J24" s="154" t="s">
        <v>18</v>
      </c>
      <c r="K24" s="146" t="s">
        <v>19</v>
      </c>
      <c r="L24" s="154" t="s">
        <v>20</v>
      </c>
      <c r="M24" s="154" t="s">
        <v>21</v>
      </c>
      <c r="N24" s="155" t="s">
        <v>22</v>
      </c>
      <c r="O24" s="154" t="s">
        <v>5</v>
      </c>
      <c r="P24" s="154" t="s">
        <v>6</v>
      </c>
    </row>
    <row r="25" spans="1:16" ht="22.5" customHeight="1" x14ac:dyDescent="0.25">
      <c r="A25" s="156" t="s">
        <v>149</v>
      </c>
      <c r="B25" s="156" t="s">
        <v>500</v>
      </c>
      <c r="C25" s="38" t="s">
        <v>26</v>
      </c>
      <c r="D25" s="38" t="s">
        <v>151</v>
      </c>
      <c r="E25" s="38" t="s">
        <v>476</v>
      </c>
      <c r="F25" s="132"/>
      <c r="G25" s="157" t="s">
        <v>28</v>
      </c>
      <c r="H25" s="157"/>
      <c r="I25" s="158"/>
      <c r="J25" s="159" t="s">
        <v>29</v>
      </c>
      <c r="K25" s="147" t="s">
        <v>30</v>
      </c>
      <c r="L25" s="159" t="s">
        <v>31</v>
      </c>
      <c r="M25" s="160" t="s">
        <v>32</v>
      </c>
      <c r="N25" s="160" t="s">
        <v>33</v>
      </c>
      <c r="O25" s="159"/>
      <c r="P25" s="159"/>
    </row>
    <row r="26" spans="1:16" ht="22.5" customHeight="1" thickBot="1" x14ac:dyDescent="0.3">
      <c r="A26" s="161"/>
      <c r="B26" s="161"/>
      <c r="C26" s="162" t="s">
        <v>9</v>
      </c>
      <c r="D26" s="163" t="s">
        <v>9</v>
      </c>
      <c r="E26" s="163" t="s">
        <v>9</v>
      </c>
      <c r="F26" s="132"/>
      <c r="G26" s="164"/>
      <c r="H26" s="164"/>
      <c r="I26" s="165" t="s">
        <v>7</v>
      </c>
      <c r="J26" s="165" t="s">
        <v>7</v>
      </c>
      <c r="K26" s="166" t="s">
        <v>7</v>
      </c>
      <c r="L26" s="166" t="s">
        <v>7</v>
      </c>
      <c r="M26" s="167" t="s">
        <v>7</v>
      </c>
      <c r="N26" s="165" t="s">
        <v>7</v>
      </c>
      <c r="O26" s="166" t="s">
        <v>8</v>
      </c>
      <c r="P26" s="166"/>
    </row>
    <row r="27" spans="1:16" ht="18" customHeight="1" x14ac:dyDescent="0.25">
      <c r="A27" s="511">
        <v>19.71</v>
      </c>
      <c r="B27" s="352" t="s">
        <v>499</v>
      </c>
      <c r="C27" s="523"/>
      <c r="D27" s="523"/>
      <c r="E27" s="523"/>
      <c r="F27" s="134"/>
      <c r="G27" s="135">
        <v>31</v>
      </c>
      <c r="H27" s="136" t="str">
        <f>CONCATENATE(VLOOKUP($G27, '[2]Commissioner Splits'!$A$4:$C$351, 2, FALSE), " - ", VLOOKUP($G27, '[2]Commissioner Splits'!$A$4:$C$351, 3, FALSE))</f>
        <v>Cardiff &amp; Vale - BAHAS &amp; Cochlears</v>
      </c>
      <c r="I27" s="133">
        <f>VLOOKUP($G27, '[2]Commissioner Splits'!$A$4:$J$351, 5, FALSE)*$C27</f>
        <v>0</v>
      </c>
      <c r="J27" s="133">
        <f>VLOOKUP($G27, '[2]Commissioner Splits'!$A$4:$J$351, 7, FALSE)*$C27</f>
        <v>0</v>
      </c>
      <c r="K27" s="133">
        <f>VLOOKUP($G27, '[2]Commissioner Splits'!$A$4:$J$351, 10, FALSE)*$C27</f>
        <v>0</v>
      </c>
      <c r="L27" s="133">
        <f>VLOOKUP($G27, '[2]Commissioner Splits'!$A$4:$J$351, 4, FALSE)*$C27</f>
        <v>0</v>
      </c>
      <c r="M27" s="133">
        <f>VLOOKUP($G27, '[2]Commissioner Splits'!$A$4:$J$351, 6, FALSE)*$C27</f>
        <v>0</v>
      </c>
      <c r="N27" s="133">
        <f>VLOOKUP($G27, '[2]Commissioner Splits'!$A$4:$J$351, 8, FALSE)*$C27</f>
        <v>0</v>
      </c>
      <c r="O27" s="133">
        <f>VLOOKUP($G27, '[2]Commissioner Splits'!$A$4:$J$351, 9, FALSE)*$C27</f>
        <v>0</v>
      </c>
      <c r="P27" s="137">
        <f t="shared" ref="P27:P30" si="4">SUM(I27:O27)</f>
        <v>0</v>
      </c>
    </row>
    <row r="28" spans="1:16" ht="18" customHeight="1" x14ac:dyDescent="0.25">
      <c r="A28" s="511">
        <v>19.28</v>
      </c>
      <c r="B28" s="352" t="s">
        <v>513</v>
      </c>
      <c r="C28" s="523"/>
      <c r="D28" s="523"/>
      <c r="E28" s="523"/>
      <c r="F28" s="134"/>
      <c r="G28" s="135">
        <v>102</v>
      </c>
      <c r="H28" s="136" t="str">
        <f>CONCATENATE(VLOOKUP($G28, '[2]Commissioner Splits'!$A$4:$C$351, 2, FALSE), " - ", VLOOKUP($G28, '[2]Commissioner Splits'!$A$4:$C$351, 3, FALSE))</f>
        <v>BCU - ALAS</v>
      </c>
      <c r="I28" s="133">
        <f>VLOOKUP($G28, '[2]Commissioner Splits'!$A$4:$J$351, 5, FALSE)*$C28</f>
        <v>0</v>
      </c>
      <c r="J28" s="133">
        <f>VLOOKUP($G28, '[2]Commissioner Splits'!$A$4:$J$351, 7, FALSE)*$C28</f>
        <v>0</v>
      </c>
      <c r="K28" s="133">
        <f>VLOOKUP($G28, '[2]Commissioner Splits'!$A$4:$J$351, 10, FALSE)*$C28</f>
        <v>0</v>
      </c>
      <c r="L28" s="133">
        <f>VLOOKUP($G28, '[2]Commissioner Splits'!$A$4:$J$351, 4, FALSE)*$C28</f>
        <v>0</v>
      </c>
      <c r="M28" s="133">
        <f>VLOOKUP($G28, '[2]Commissioner Splits'!$A$4:$J$351, 6, FALSE)*$C28</f>
        <v>0</v>
      </c>
      <c r="N28" s="133">
        <f>VLOOKUP($G28, '[2]Commissioner Splits'!$A$4:$J$351, 8, FALSE)*$C28</f>
        <v>0</v>
      </c>
      <c r="O28" s="133">
        <f>VLOOKUP($G28, '[2]Commissioner Splits'!$A$4:$J$351, 9, FALSE)*$C28</f>
        <v>0</v>
      </c>
      <c r="P28" s="137">
        <f t="shared" si="4"/>
        <v>0</v>
      </c>
    </row>
    <row r="29" spans="1:16" ht="18" customHeight="1" thickBot="1" x14ac:dyDescent="0.3">
      <c r="A29" s="511">
        <v>17.57</v>
      </c>
      <c r="B29" s="352" t="s">
        <v>496</v>
      </c>
      <c r="C29" s="524">
        <v>0.32</v>
      </c>
      <c r="D29" s="524">
        <v>0.32</v>
      </c>
      <c r="E29" s="524">
        <v>0.32</v>
      </c>
      <c r="F29" s="134"/>
      <c r="G29" s="180">
        <v>82</v>
      </c>
      <c r="H29" s="141" t="str">
        <f>CONCATENATE(VLOOKUP($G29, '[2]Commissioner Splits'!$A$4:$C$351, 2, FALSE), " - ", VLOOKUP($G29, '[2]Commissioner Splits'!$A$4:$C$351, 3, FALSE))</f>
        <v>ABMU - CLP</v>
      </c>
      <c r="I29" s="52">
        <f>VLOOKUP($G29, '[2]Commissioner Splits'!$A$4:$J$351, 5, FALSE)*$C29</f>
        <v>8.1194029850746252E-2</v>
      </c>
      <c r="J29" s="52">
        <f>VLOOKUP($G29, '[2]Commissioner Splits'!$A$4:$J$351, 7, FALSE)*$C29</f>
        <v>6.6865671641791039E-2</v>
      </c>
      <c r="K29" s="133">
        <f>VLOOKUP($G29, '[2]Commissioner Splits'!$A$4:$J$351, 10, FALSE)*$C29</f>
        <v>0</v>
      </c>
      <c r="L29" s="133">
        <f>VLOOKUP($G29, '[2]Commissioner Splits'!$A$4:$J$351, 4, FALSE)*$C29</f>
        <v>6.2089552238805967E-2</v>
      </c>
      <c r="M29" s="133">
        <f>VLOOKUP($G29, '[2]Commissioner Splits'!$A$4:$J$351, 6, FALSE)*$C29</f>
        <v>5.2537313432835825E-2</v>
      </c>
      <c r="N29" s="133">
        <f>VLOOKUP($G29, '[2]Commissioner Splits'!$A$4:$J$351, 8, FALSE)*$C29</f>
        <v>4.776119402985074E-2</v>
      </c>
      <c r="O29" s="133">
        <f>VLOOKUP($G29, '[2]Commissioner Splits'!$A$4:$J$351, 9, FALSE)*$C29</f>
        <v>9.5522388059701476E-3</v>
      </c>
      <c r="P29" s="137">
        <f t="shared" si="4"/>
        <v>0.31999999999999995</v>
      </c>
    </row>
    <row r="30" spans="1:16" ht="18" customHeight="1" thickBot="1" x14ac:dyDescent="0.3">
      <c r="A30" s="511">
        <v>16</v>
      </c>
      <c r="B30" s="352" t="s">
        <v>497</v>
      </c>
      <c r="C30" s="524">
        <v>0.3</v>
      </c>
      <c r="D30" s="524">
        <v>0.3</v>
      </c>
      <c r="E30" s="524">
        <v>0.3</v>
      </c>
      <c r="F30" s="134"/>
      <c r="G30" s="180">
        <v>322</v>
      </c>
      <c r="H30" s="141" t="str">
        <f>CONCATENATE(VLOOKUP($G30, '[2]Commissioner Splits'!$A$4:$C$351, 2, FALSE), " - ", VLOOKUP($G30, '[2]Commissioner Splits'!$A$4:$C$351, 3, FALSE))</f>
        <v>Unallocated - All Wales Population</v>
      </c>
      <c r="I30" s="52">
        <f>VLOOKUP($G30, '[2]Commissioner Splits'!$A$4:$J$351, 5, FALSE)*$C30</f>
        <v>4.9950000000000001E-2</v>
      </c>
      <c r="J30" s="52">
        <f>VLOOKUP($G30, '[2]Commissioner Splits'!$A$4:$J$351, 7, FALSE)*$C30</f>
        <v>5.6399999999999999E-2</v>
      </c>
      <c r="K30" s="133">
        <f>VLOOKUP($G30, '[2]Commissioner Splits'!$A$4:$J$351, 10, FALSE)*$C30</f>
        <v>6.8459999999999993E-2</v>
      </c>
      <c r="L30" s="133">
        <f>VLOOKUP($G30, '[2]Commissioner Splits'!$A$4:$J$351, 4, FALSE)*$C30</f>
        <v>4.4880000000000003E-2</v>
      </c>
      <c r="M30" s="133">
        <f>VLOOKUP($G30, '[2]Commissioner Splits'!$A$4:$J$351, 6, FALSE)*$C30</f>
        <v>2.9039999999999996E-2</v>
      </c>
      <c r="N30" s="133">
        <f>VLOOKUP($G30, '[2]Commissioner Splits'!$A$4:$J$351, 8, FALSE)*$C30</f>
        <v>3.7920000000000002E-2</v>
      </c>
      <c r="O30" s="133">
        <f>VLOOKUP($G30, '[2]Commissioner Splits'!$A$4:$J$351, 9, FALSE)*$C30</f>
        <v>1.3349999999999999E-2</v>
      </c>
      <c r="P30" s="137">
        <f t="shared" si="4"/>
        <v>0.3</v>
      </c>
    </row>
    <row r="31" spans="1:16" ht="18" customHeight="1" thickBot="1" x14ac:dyDescent="0.3">
      <c r="A31" s="511">
        <v>15.990000000000002</v>
      </c>
      <c r="B31" s="352" t="s">
        <v>498</v>
      </c>
      <c r="C31" s="524">
        <v>0.375</v>
      </c>
      <c r="D31" s="524">
        <v>0.375</v>
      </c>
      <c r="E31" s="524">
        <v>0.375</v>
      </c>
      <c r="F31" s="134"/>
      <c r="G31" s="180">
        <v>24</v>
      </c>
      <c r="H31" s="141" t="str">
        <f>CONCATENATE(VLOOKUP($G31, '[2]Commissioner Splits'!$A$4:$C$351, 2, FALSE), " - ", VLOOKUP($G31, '[2]Commissioner Splits'!$A$4:$C$351, 3, FALSE))</f>
        <v>Cardiff &amp; Vale - Neurosurgery</v>
      </c>
      <c r="I31" s="52">
        <f>VLOOKUP($G31, '[2]Commissioner Splits'!$A$4:$J$351, 5, FALSE)*$C31</f>
        <v>8.5947783947338943E-2</v>
      </c>
      <c r="J31" s="52">
        <f>VLOOKUP($G31, '[2]Commissioner Splits'!$A$4:$J$351, 7, FALSE)*$C31</f>
        <v>9.1185272641775478E-2</v>
      </c>
      <c r="K31" s="133">
        <f>VLOOKUP($G31, '[2]Commissioner Splits'!$A$4:$J$351, 10, FALSE)*$C31</f>
        <v>3.8314609287561226E-4</v>
      </c>
      <c r="L31" s="133">
        <f>VLOOKUP($G31, '[2]Commissioner Splits'!$A$4:$J$351, 4, FALSE)*$C31</f>
        <v>8.9591604017982593E-2</v>
      </c>
      <c r="M31" s="133">
        <f>VLOOKUP($G31, '[2]Commissioner Splits'!$A$4:$J$351, 6, FALSE)*$C31</f>
        <v>5.7367457456890487E-2</v>
      </c>
      <c r="N31" s="133">
        <f>VLOOKUP($G31, '[2]Commissioner Splits'!$A$4:$J$351, 8, FALSE)*$C31</f>
        <v>4.5032589406694995E-2</v>
      </c>
      <c r="O31" s="133">
        <f>VLOOKUP($G31, '[2]Commissioner Splits'!$A$4:$J$351, 9, FALSE)*$C31</f>
        <v>5.4921464364418486E-3</v>
      </c>
      <c r="P31" s="137">
        <f>SUM(I31:O31)</f>
        <v>0.37499999999999994</v>
      </c>
    </row>
    <row r="32" spans="1:16" ht="22.5" customHeight="1" thickBot="1" x14ac:dyDescent="0.3">
      <c r="A32" s="144"/>
      <c r="B32" s="143" t="s">
        <v>6</v>
      </c>
      <c r="C32" s="145">
        <f>SUM(C27:C31)</f>
        <v>0.995</v>
      </c>
      <c r="D32" s="145">
        <f>SUM(D27:D31)</f>
        <v>0.995</v>
      </c>
      <c r="E32" s="145">
        <f>SUM(E27:E31)</f>
        <v>0.995</v>
      </c>
      <c r="F32" s="134"/>
      <c r="G32" s="145"/>
      <c r="H32" s="145">
        <f>SUM(H27:H28)</f>
        <v>0</v>
      </c>
      <c r="I32" s="145">
        <f t="shared" ref="I32:P32" si="5">SUM(I27:I31)</f>
        <v>0.21709181379808518</v>
      </c>
      <c r="J32" s="145">
        <f t="shared" si="5"/>
        <v>0.21445094428356651</v>
      </c>
      <c r="K32" s="145">
        <f t="shared" si="5"/>
        <v>6.8843146092875604E-2</v>
      </c>
      <c r="L32" s="145">
        <f t="shared" si="5"/>
        <v>0.19656115625678855</v>
      </c>
      <c r="M32" s="145">
        <f t="shared" si="5"/>
        <v>0.13894477088972632</v>
      </c>
      <c r="N32" s="145">
        <f t="shared" si="5"/>
        <v>0.13071378343654574</v>
      </c>
      <c r="O32" s="145">
        <f t="shared" si="5"/>
        <v>2.8394385242411994E-2</v>
      </c>
      <c r="P32" s="145">
        <f t="shared" si="5"/>
        <v>0.99499999999999988</v>
      </c>
    </row>
    <row r="33" spans="1:18" ht="22.5" customHeight="1" thickBot="1" x14ac:dyDescent="0.3">
      <c r="A33" s="357"/>
      <c r="B33" s="358" t="s">
        <v>187</v>
      </c>
      <c r="C33" s="359"/>
      <c r="D33" s="359"/>
      <c r="E33" s="359"/>
      <c r="F33" s="134"/>
      <c r="G33" s="359"/>
      <c r="H33" s="359"/>
      <c r="I33" s="359"/>
      <c r="J33" s="359"/>
      <c r="K33" s="359"/>
      <c r="L33" s="359"/>
      <c r="M33" s="359"/>
      <c r="N33" s="359"/>
      <c r="O33" s="359"/>
      <c r="P33" s="359"/>
      <c r="Q33" s="359"/>
      <c r="R33" s="359"/>
    </row>
    <row r="34" spans="1:18" ht="22.5" customHeight="1" x14ac:dyDescent="0.25">
      <c r="A34" s="148"/>
      <c r="B34" s="149"/>
      <c r="C34" s="150"/>
      <c r="D34" s="151"/>
      <c r="E34" s="151"/>
      <c r="F34" s="132"/>
      <c r="G34" s="152"/>
      <c r="H34" s="152"/>
      <c r="I34" s="153" t="s">
        <v>0</v>
      </c>
      <c r="J34" s="154" t="s">
        <v>18</v>
      </c>
      <c r="K34" s="146" t="s">
        <v>19</v>
      </c>
      <c r="L34" s="154" t="s">
        <v>20</v>
      </c>
      <c r="M34" s="154" t="s">
        <v>21</v>
      </c>
      <c r="N34" s="155" t="s">
        <v>22</v>
      </c>
      <c r="O34" s="154" t="s">
        <v>5</v>
      </c>
      <c r="P34" s="154" t="s">
        <v>6</v>
      </c>
    </row>
    <row r="35" spans="1:18" ht="22.5" customHeight="1" x14ac:dyDescent="0.25">
      <c r="A35" s="156" t="s">
        <v>149</v>
      </c>
      <c r="B35" s="156" t="s">
        <v>501</v>
      </c>
      <c r="C35" s="38" t="s">
        <v>26</v>
      </c>
      <c r="D35" s="38" t="s">
        <v>151</v>
      </c>
      <c r="E35" s="38" t="s">
        <v>476</v>
      </c>
      <c r="F35" s="132"/>
      <c r="G35" s="157" t="s">
        <v>28</v>
      </c>
      <c r="H35" s="157"/>
      <c r="I35" s="158"/>
      <c r="J35" s="159" t="s">
        <v>29</v>
      </c>
      <c r="K35" s="147" t="s">
        <v>30</v>
      </c>
      <c r="L35" s="159" t="s">
        <v>31</v>
      </c>
      <c r="M35" s="160" t="s">
        <v>32</v>
      </c>
      <c r="N35" s="160" t="s">
        <v>33</v>
      </c>
      <c r="O35" s="159"/>
      <c r="P35" s="159"/>
    </row>
    <row r="36" spans="1:18" ht="22.5" customHeight="1" thickBot="1" x14ac:dyDescent="0.3">
      <c r="A36" s="161"/>
      <c r="B36" s="161"/>
      <c r="C36" s="162" t="s">
        <v>9</v>
      </c>
      <c r="D36" s="163" t="s">
        <v>9</v>
      </c>
      <c r="E36" s="163" t="s">
        <v>9</v>
      </c>
      <c r="F36" s="132"/>
      <c r="G36" s="164"/>
      <c r="H36" s="164"/>
      <c r="I36" s="165" t="s">
        <v>7</v>
      </c>
      <c r="J36" s="165" t="s">
        <v>7</v>
      </c>
      <c r="K36" s="166" t="s">
        <v>7</v>
      </c>
      <c r="L36" s="166" t="s">
        <v>7</v>
      </c>
      <c r="M36" s="167" t="s">
        <v>7</v>
      </c>
      <c r="N36" s="165" t="s">
        <v>7</v>
      </c>
      <c r="O36" s="166" t="s">
        <v>8</v>
      </c>
      <c r="P36" s="166"/>
    </row>
    <row r="37" spans="1:18" ht="18" customHeight="1" thickBot="1" x14ac:dyDescent="0.3">
      <c r="A37" s="511">
        <v>19.57</v>
      </c>
      <c r="B37" s="129" t="s">
        <v>512</v>
      </c>
      <c r="C37" s="521">
        <v>0.28999999999999998</v>
      </c>
      <c r="D37" s="521">
        <v>1.29</v>
      </c>
      <c r="E37" s="521">
        <v>2.29</v>
      </c>
      <c r="F37" s="132"/>
      <c r="G37" s="142">
        <v>322</v>
      </c>
      <c r="H37" s="141" t="str">
        <f>CONCATENATE(VLOOKUP($G37, '[2]Commissioner Splits'!$A$4:$C$351, 2, FALSE), " - ", VLOOKUP($G37, '[2]Commissioner Splits'!$A$4:$C$351, 3, FALSE))</f>
        <v>Unallocated - All Wales Population</v>
      </c>
      <c r="I37" s="52">
        <f>VLOOKUP($G37, '[2]Commissioner Splits'!$A$4:$J$351, 5, FALSE)*$C37</f>
        <v>4.8285000000000002E-2</v>
      </c>
      <c r="J37" s="52">
        <f>VLOOKUP($G37, '[2]Commissioner Splits'!$A$4:$J$351, 7, FALSE)*$C37</f>
        <v>5.4519999999999999E-2</v>
      </c>
      <c r="K37" s="133">
        <f>VLOOKUP($G37, '[2]Commissioner Splits'!$A$4:$J$351, 10, FALSE)*$C37</f>
        <v>6.6177999999999987E-2</v>
      </c>
      <c r="L37" s="133">
        <f>VLOOKUP($G37, '[2]Commissioner Splits'!$A$4:$J$351, 4, FALSE)*$C37</f>
        <v>4.3383999999999999E-2</v>
      </c>
      <c r="M37" s="133">
        <f>VLOOKUP($G37, '[2]Commissioner Splits'!$A$4:$J$351, 6, FALSE)*$C37</f>
        <v>2.8071999999999996E-2</v>
      </c>
      <c r="N37" s="133">
        <f>VLOOKUP($G37, '[2]Commissioner Splits'!$A$4:$J$351, 8, FALSE)*$C37</f>
        <v>3.6656000000000001E-2</v>
      </c>
      <c r="O37" s="133">
        <f>VLOOKUP($G37, '[2]Commissioner Splits'!$A$4:$J$351, 9, FALSE)*$C37</f>
        <v>1.2904999999999998E-2</v>
      </c>
      <c r="P37" s="137">
        <f>SUM(I37:O37)</f>
        <v>0.28999999999999998</v>
      </c>
    </row>
    <row r="38" spans="1:18" ht="18" customHeight="1" x14ac:dyDescent="0.25">
      <c r="A38" s="510">
        <v>19.03</v>
      </c>
      <c r="B38" s="168" t="s">
        <v>502</v>
      </c>
      <c r="C38" s="521">
        <f>6*0.0125</f>
        <v>7.5000000000000011E-2</v>
      </c>
      <c r="D38" s="521">
        <f t="shared" ref="D38:E38" si="6">6*0.0125</f>
        <v>7.5000000000000011E-2</v>
      </c>
      <c r="E38" s="521">
        <f t="shared" si="6"/>
        <v>7.5000000000000011E-2</v>
      </c>
      <c r="F38" s="132"/>
      <c r="G38" s="185">
        <v>322</v>
      </c>
      <c r="H38" s="182" t="str">
        <f>CONCATENATE(VLOOKUP($G38, '[2]Commissioner Splits'!$A$4:$C$351, 2, FALSE), " - ", VLOOKUP($G38, '[2]Commissioner Splits'!$A$4:$C$351, 3, FALSE))</f>
        <v>Unallocated - All Wales Population</v>
      </c>
      <c r="I38" s="183">
        <f>VLOOKUP($G38, '[2]Commissioner Splits'!$A$4:$J$351, 5, FALSE)*$C38</f>
        <v>1.2487500000000002E-2</v>
      </c>
      <c r="J38" s="183">
        <f>VLOOKUP($G38, '[2]Commissioner Splits'!$A$4:$J$351, 7, FALSE)*$C38</f>
        <v>1.4100000000000001E-2</v>
      </c>
      <c r="K38" s="183">
        <f>VLOOKUP($G38, '[2]Commissioner Splits'!$A$4:$J$351, 10, FALSE)*$C38</f>
        <v>1.7115000000000002E-2</v>
      </c>
      <c r="L38" s="183">
        <f>VLOOKUP($G38, '[2]Commissioner Splits'!$A$4:$J$351, 4, FALSE)*$C38</f>
        <v>1.1220000000000003E-2</v>
      </c>
      <c r="M38" s="183">
        <f>VLOOKUP($G38, '[2]Commissioner Splits'!$A$4:$J$351, 6, FALSE)*$C38</f>
        <v>7.2600000000000008E-3</v>
      </c>
      <c r="N38" s="183">
        <f>VLOOKUP($G38, '[2]Commissioner Splits'!$A$4:$J$351, 8, FALSE)*$C38</f>
        <v>9.4800000000000023E-3</v>
      </c>
      <c r="O38" s="183">
        <f>VLOOKUP($G38, '[2]Commissioner Splits'!$A$4:$J$351, 9, FALSE)*$C38</f>
        <v>3.3375000000000002E-3</v>
      </c>
      <c r="P38" s="137">
        <f t="shared" ref="P38:P49" si="7">SUM(I38:O38)</f>
        <v>7.5000000000000011E-2</v>
      </c>
    </row>
    <row r="39" spans="1:18" ht="18" customHeight="1" x14ac:dyDescent="0.25">
      <c r="A39" s="511">
        <v>18.57</v>
      </c>
      <c r="B39" s="168" t="s">
        <v>503</v>
      </c>
      <c r="C39" s="521">
        <v>0.7</v>
      </c>
      <c r="D39" s="521">
        <v>1.7</v>
      </c>
      <c r="E39" s="521">
        <v>1.7</v>
      </c>
      <c r="F39" s="132"/>
      <c r="G39" s="181">
        <v>38</v>
      </c>
      <c r="H39" s="182" t="str">
        <f>CONCATENATE(VLOOKUP($G39, '[2]Commissioner Splits'!$A$4:$C$351, 2, FALSE), " - ", VLOOKUP($G39, '[2]Commissioner Splits'!$A$4:$C$351, 3, FALSE))</f>
        <v>Cardiff &amp; Vale - Cystic Fibrosis</v>
      </c>
      <c r="I39" s="183">
        <f>VLOOKUP($G39, '[2]Commissioner Splits'!$A$4:$J$351, 5, FALSE)*$C39</f>
        <v>0.19944973449997905</v>
      </c>
      <c r="J39" s="183">
        <f>VLOOKUP($G39, '[2]Commissioner Splits'!$A$4:$J$351, 7, FALSE)*$C39</f>
        <v>0.14239455622210351</v>
      </c>
      <c r="K39" s="183">
        <f>VLOOKUP($G39, '[2]Commissioner Splits'!$A$4:$J$351, 10, FALSE)*$C39</f>
        <v>1.1243900964632467E-3</v>
      </c>
      <c r="L39" s="183">
        <f>VLOOKUP($G39, '[2]Commissioner Splits'!$A$4:$J$351, 4, FALSE)*$C39</f>
        <v>0.18354956329632727</v>
      </c>
      <c r="M39" s="183">
        <f>VLOOKUP($G39, '[2]Commissioner Splits'!$A$4:$J$351, 6, FALSE)*$C39</f>
        <v>9.8127108977567337E-2</v>
      </c>
      <c r="N39" s="183">
        <f>VLOOKUP($G39, '[2]Commissioner Splits'!$A$4:$J$351, 8, FALSE)*$C39</f>
        <v>5.9989270958013187E-2</v>
      </c>
      <c r="O39" s="183">
        <f>VLOOKUP($G39, '[2]Commissioner Splits'!$A$4:$J$351, 9, FALSE)*$C39</f>
        <v>1.5365375949546361E-2</v>
      </c>
      <c r="P39" s="137">
        <f t="shared" si="7"/>
        <v>0.7</v>
      </c>
    </row>
    <row r="40" spans="1:18" ht="18" customHeight="1" x14ac:dyDescent="0.25">
      <c r="A40" s="511">
        <v>18.43</v>
      </c>
      <c r="B40" s="168" t="s">
        <v>504</v>
      </c>
      <c r="C40" s="521">
        <v>0.113</v>
      </c>
      <c r="D40" s="521">
        <v>0.113</v>
      </c>
      <c r="E40" s="521">
        <v>0.113</v>
      </c>
      <c r="F40" s="132"/>
      <c r="G40" s="135">
        <v>82</v>
      </c>
      <c r="H40" s="136" t="str">
        <f>CONCATENATE(VLOOKUP($G40, '[2]Commissioner Splits'!$A$4:$C$351, 2, FALSE), " - ", VLOOKUP($G40, '[2]Commissioner Splits'!$A$4:$C$351, 3, FALSE))</f>
        <v>ABMU - CLP</v>
      </c>
      <c r="I40" s="133">
        <f>VLOOKUP($G40, '[2]Commissioner Splits'!$A$4:$J$351, 5, FALSE)*$C40</f>
        <v>2.8671641791044773E-2</v>
      </c>
      <c r="J40" s="133">
        <f>VLOOKUP($G40, '[2]Commissioner Splits'!$A$4:$J$351, 7, FALSE)*$C40</f>
        <v>2.3611940298507463E-2</v>
      </c>
      <c r="K40" s="133">
        <f>VLOOKUP($G40, '[2]Commissioner Splits'!$A$4:$J$351, 10, FALSE)*$C40</f>
        <v>0</v>
      </c>
      <c r="L40" s="133">
        <f>VLOOKUP($G40, '[2]Commissioner Splits'!$A$4:$J$351, 4, FALSE)*$C40</f>
        <v>2.1925373134328355E-2</v>
      </c>
      <c r="M40" s="133">
        <f>VLOOKUP($G40, '[2]Commissioner Splits'!$A$4:$J$351, 6, FALSE)*$C40</f>
        <v>1.855223880597015E-2</v>
      </c>
      <c r="N40" s="133">
        <f>VLOOKUP($G40, '[2]Commissioner Splits'!$A$4:$J$351, 8, FALSE)*$C40</f>
        <v>1.6865671641791043E-2</v>
      </c>
      <c r="O40" s="133">
        <f>VLOOKUP($G40, '[2]Commissioner Splits'!$A$4:$J$351, 9, FALSE)*$C40</f>
        <v>3.3731343283582085E-3</v>
      </c>
      <c r="P40" s="137">
        <f t="shared" si="7"/>
        <v>0.11299999999999999</v>
      </c>
    </row>
    <row r="41" spans="1:18" ht="18" customHeight="1" x14ac:dyDescent="0.25">
      <c r="A41" s="511">
        <v>18.14</v>
      </c>
      <c r="B41" s="168" t="s">
        <v>505</v>
      </c>
      <c r="C41" s="521">
        <v>7.1999999999999995E-2</v>
      </c>
      <c r="D41" s="521">
        <v>7.1999999999999995E-2</v>
      </c>
      <c r="E41" s="521">
        <v>7.1999999999999995E-2</v>
      </c>
      <c r="F41" s="132"/>
      <c r="G41" s="185">
        <v>102</v>
      </c>
      <c r="H41" s="182" t="str">
        <f>CONCATENATE(VLOOKUP($G41, '[2]Commissioner Splits'!$A$4:$C$351, 2, FALSE), " - ", VLOOKUP($G41, '[2]Commissioner Splits'!$A$4:$C$351, 3, FALSE))</f>
        <v>BCU - ALAS</v>
      </c>
      <c r="I41" s="183">
        <f>VLOOKUP($G41, '[2]Commissioner Splits'!$A$4:$J$351, 5, FALSE)*$C41</f>
        <v>0</v>
      </c>
      <c r="J41" s="183">
        <f>VLOOKUP($G41, '[2]Commissioner Splits'!$A$4:$J$351, 7, FALSE)*$C41</f>
        <v>0</v>
      </c>
      <c r="K41" s="183">
        <f>VLOOKUP($G41, '[2]Commissioner Splits'!$A$4:$J$351, 10, FALSE)*$C41</f>
        <v>7.1999999999999995E-2</v>
      </c>
      <c r="L41" s="183">
        <f>VLOOKUP($G41, '[2]Commissioner Splits'!$A$4:$J$351, 4, FALSE)*$C41</f>
        <v>0</v>
      </c>
      <c r="M41" s="183">
        <f>VLOOKUP($G41, '[2]Commissioner Splits'!$A$4:$J$351, 6, FALSE)*$C41</f>
        <v>0</v>
      </c>
      <c r="N41" s="183">
        <f>VLOOKUP($G41, '[2]Commissioner Splits'!$A$4:$J$351, 8, FALSE)*$C41</f>
        <v>0</v>
      </c>
      <c r="O41" s="183">
        <f>VLOOKUP($G41, '[2]Commissioner Splits'!$A$4:$J$351, 9, FALSE)*$C41</f>
        <v>0</v>
      </c>
      <c r="P41" s="137">
        <f t="shared" si="7"/>
        <v>7.1999999999999995E-2</v>
      </c>
    </row>
    <row r="42" spans="1:18" ht="18" customHeight="1" x14ac:dyDescent="0.25">
      <c r="A42" s="510">
        <v>17.945</v>
      </c>
      <c r="B42" s="168" t="s">
        <v>523</v>
      </c>
      <c r="C42" s="521"/>
      <c r="D42" s="521"/>
      <c r="E42" s="521"/>
      <c r="F42" s="132"/>
      <c r="G42" s="185">
        <v>81</v>
      </c>
      <c r="H42" s="182" t="str">
        <f>CONCATENATE(VLOOKUP($G42, '[2]Commissioner Splits'!$A$4:$C$351, 2, FALSE), " - ", VLOOKUP($G42, '[2]Commissioner Splits'!$A$4:$C$351, 3, FALSE))</f>
        <v>ABMU - Plastics</v>
      </c>
      <c r="I42" s="183">
        <f>VLOOKUP($G42, '[2]Commissioner Splits'!$A$4:$J$351, 5, FALSE)*$C42</f>
        <v>0</v>
      </c>
      <c r="J42" s="183">
        <f>VLOOKUP($G42, '[2]Commissioner Splits'!$A$4:$J$351, 7, FALSE)*$C42</f>
        <v>0</v>
      </c>
      <c r="K42" s="183">
        <f>VLOOKUP($G42, '[2]Commissioner Splits'!$A$4:$J$351, 10, FALSE)*$C42</f>
        <v>0</v>
      </c>
      <c r="L42" s="183">
        <f>VLOOKUP($G42, '[2]Commissioner Splits'!$A$4:$J$351, 4, FALSE)*$C42</f>
        <v>0</v>
      </c>
      <c r="M42" s="183">
        <f>VLOOKUP($G42, '[2]Commissioner Splits'!$A$4:$J$351, 6, FALSE)*$C42</f>
        <v>0</v>
      </c>
      <c r="N42" s="183">
        <f>VLOOKUP($G42, '[2]Commissioner Splits'!$A$4:$J$351, 8, FALSE)*$C42</f>
        <v>0</v>
      </c>
      <c r="O42" s="183">
        <f>VLOOKUP($G42, '[2]Commissioner Splits'!$A$4:$J$351, 9, FALSE)*$C42</f>
        <v>0</v>
      </c>
      <c r="P42" s="137">
        <f t="shared" si="7"/>
        <v>0</v>
      </c>
    </row>
    <row r="43" spans="1:18" ht="18" customHeight="1" x14ac:dyDescent="0.25">
      <c r="A43" s="511">
        <v>17.850000000000001</v>
      </c>
      <c r="B43" s="168" t="s">
        <v>506</v>
      </c>
      <c r="C43" s="521">
        <v>0.22500000000000001</v>
      </c>
      <c r="D43" s="521">
        <v>0.22500000000000001</v>
      </c>
      <c r="E43" s="521">
        <v>0.22500000000000001</v>
      </c>
      <c r="F43" s="132"/>
      <c r="G43" s="185">
        <v>31</v>
      </c>
      <c r="H43" s="182" t="str">
        <f>CONCATENATE(VLOOKUP($G43, '[2]Commissioner Splits'!$A$4:$C$351, 2, FALSE), " - ", VLOOKUP($G43, '[2]Commissioner Splits'!$A$4:$C$351, 3, FALSE))</f>
        <v>Cardiff &amp; Vale - BAHAS &amp; Cochlears</v>
      </c>
      <c r="I43" s="183">
        <f>VLOOKUP($G43, '[2]Commissioner Splits'!$A$4:$J$351, 5, FALSE)*$C43</f>
        <v>3.1690140845070424E-3</v>
      </c>
      <c r="J43" s="183">
        <f>VLOOKUP($G43, '[2]Commissioner Splits'!$A$4:$J$351, 7, FALSE)*$C43</f>
        <v>6.971830985915492E-2</v>
      </c>
      <c r="K43" s="183">
        <f>VLOOKUP($G43, '[2]Commissioner Splits'!$A$4:$J$351, 10, FALSE)*$C43</f>
        <v>0</v>
      </c>
      <c r="L43" s="183">
        <f>VLOOKUP($G43, '[2]Commissioner Splits'!$A$4:$J$351, 4, FALSE)*$C43</f>
        <v>9.4436619718309855E-2</v>
      </c>
      <c r="M43" s="183">
        <f>VLOOKUP($G43, '[2]Commissioner Splits'!$A$4:$J$351, 6, FALSE)*$C43</f>
        <v>2.5985915492957746E-2</v>
      </c>
      <c r="N43" s="183">
        <f>VLOOKUP($G43, '[2]Commissioner Splits'!$A$4:$J$351, 8, FALSE)*$C43</f>
        <v>2.0281690140845073E-2</v>
      </c>
      <c r="O43" s="183">
        <f>VLOOKUP($G43, '[2]Commissioner Splits'!$A$4:$J$351, 9, FALSE)*$C43</f>
        <v>1.1408450704225352E-2</v>
      </c>
      <c r="P43" s="137">
        <f t="shared" si="7"/>
        <v>0.22500000000000001</v>
      </c>
    </row>
    <row r="44" spans="1:18" ht="18" customHeight="1" x14ac:dyDescent="0.25">
      <c r="A44" s="510">
        <v>17</v>
      </c>
      <c r="B44" s="168" t="s">
        <v>531</v>
      </c>
      <c r="C44" s="521">
        <v>1.4E-2</v>
      </c>
      <c r="D44" s="521">
        <v>2.1000000000000001E-2</v>
      </c>
      <c r="E44" s="521">
        <v>2.1000000000000001E-2</v>
      </c>
      <c r="F44" s="132"/>
      <c r="G44" s="181">
        <v>322</v>
      </c>
      <c r="H44" s="182" t="str">
        <f>CONCATENATE(VLOOKUP($G44, '[2]Commissioner Splits'!$A$4:$C$351, 2, FALSE), " - ", VLOOKUP($G44, '[2]Commissioner Splits'!$A$4:$C$351, 3, FALSE))</f>
        <v>Unallocated - All Wales Population</v>
      </c>
      <c r="I44" s="183">
        <f>VLOOKUP($G44, '[2]Commissioner Splits'!$A$4:$J$351, 5, FALSE)*$C44</f>
        <v>2.3310000000000002E-3</v>
      </c>
      <c r="J44" s="183">
        <f>VLOOKUP($G44, '[2]Commissioner Splits'!$A$4:$J$351, 7, FALSE)*$C44</f>
        <v>2.6320000000000002E-3</v>
      </c>
      <c r="K44" s="183">
        <f>VLOOKUP($G44, '[2]Commissioner Splits'!$A$4:$J$351, 10, FALSE)*$C44</f>
        <v>3.1947999999999998E-3</v>
      </c>
      <c r="L44" s="183">
        <f>VLOOKUP($G44, '[2]Commissioner Splits'!$A$4:$J$351, 4, FALSE)*$C44</f>
        <v>2.0944000000000002E-3</v>
      </c>
      <c r="M44" s="183">
        <f>VLOOKUP($G44, '[2]Commissioner Splits'!$A$4:$J$351, 6, FALSE)*$C44</f>
        <v>1.3552E-3</v>
      </c>
      <c r="N44" s="183">
        <f>VLOOKUP($G44, '[2]Commissioner Splits'!$A$4:$J$351, 8, FALSE)*$C44</f>
        <v>1.7696000000000003E-3</v>
      </c>
      <c r="O44" s="183">
        <f>VLOOKUP($G44, '[2]Commissioner Splits'!$A$4:$J$351, 9, FALSE)*$C44</f>
        <v>6.2299999999999996E-4</v>
      </c>
      <c r="P44" s="137">
        <f t="shared" si="7"/>
        <v>1.4E-2</v>
      </c>
    </row>
    <row r="45" spans="1:18" ht="18" customHeight="1" x14ac:dyDescent="0.25">
      <c r="A45" s="511">
        <v>15.86</v>
      </c>
      <c r="B45" s="352" t="s">
        <v>509</v>
      </c>
      <c r="C45" s="521">
        <v>0.1</v>
      </c>
      <c r="D45" s="521">
        <v>0.2</v>
      </c>
      <c r="E45" s="521">
        <v>0.2</v>
      </c>
      <c r="F45" s="132"/>
      <c r="G45" s="181">
        <v>299</v>
      </c>
      <c r="H45" s="182" t="str">
        <f>CONCATENATE(VLOOKUP($G45, '[2]Commissioner Splits'!$A$4:$C$351, 2, FALSE), " - ", VLOOKUP($G45, '[2]Commissioner Splits'!$A$4:$C$351, 3, FALSE))</f>
        <v xml:space="preserve">16/17 Developments - Neurosurgery 
</v>
      </c>
      <c r="I45" s="183">
        <f>VLOOKUP($G45, '[2]Commissioner Splits'!$A$4:$J$351, 5, FALSE)*$C45</f>
        <v>2.2500303428221194E-2</v>
      </c>
      <c r="J45" s="183">
        <f>VLOOKUP($G45, '[2]Commissioner Splits'!$A$4:$J$351, 7, FALSE)*$C45</f>
        <v>2.3345481406370085E-2</v>
      </c>
      <c r="K45" s="183">
        <f>VLOOKUP($G45, '[2]Commissioner Splits'!$A$4:$J$351, 10, FALSE)*$C45</f>
        <v>3.2010108524458254E-4</v>
      </c>
      <c r="L45" s="183">
        <f>VLOOKUP($G45, '[2]Commissioner Splits'!$A$4:$J$351, 4, FALSE)*$C45</f>
        <v>2.2161850358259936E-2</v>
      </c>
      <c r="M45" s="183">
        <f>VLOOKUP($G45, '[2]Commissioner Splits'!$A$4:$J$351, 6, FALSE)*$C45</f>
        <v>1.5838024810519331E-2</v>
      </c>
      <c r="N45" s="183">
        <f>VLOOKUP($G45, '[2]Commissioner Splits'!$A$4:$J$351, 8, FALSE)*$C45</f>
        <v>1.4178856467285001E-2</v>
      </c>
      <c r="O45" s="183">
        <f>VLOOKUP($G45, '[2]Commissioner Splits'!$A$4:$J$351, 9, FALSE)*$C45</f>
        <v>1.6553824440998872E-3</v>
      </c>
      <c r="P45" s="137">
        <f t="shared" si="7"/>
        <v>0.10000000000000002</v>
      </c>
    </row>
    <row r="46" spans="1:18" ht="18" customHeight="1" x14ac:dyDescent="0.25">
      <c r="A46" s="511">
        <v>14.709999999999999</v>
      </c>
      <c r="B46" s="352" t="s">
        <v>152</v>
      </c>
      <c r="C46" s="521">
        <v>0.1</v>
      </c>
      <c r="D46" s="521">
        <v>0.2</v>
      </c>
      <c r="E46" s="521">
        <v>0.2</v>
      </c>
      <c r="F46" s="132"/>
      <c r="G46" s="181">
        <v>299</v>
      </c>
      <c r="H46" s="182" t="str">
        <f>CONCATENATE(VLOOKUP($G46, '[2]Commissioner Splits'!$A$4:$C$351, 2, FALSE), " - ", VLOOKUP($G46, '[2]Commissioner Splits'!$A$4:$C$351, 3, FALSE))</f>
        <v xml:space="preserve">16/17 Developments - Neurosurgery 
</v>
      </c>
      <c r="I46" s="183">
        <f>VLOOKUP($G46, '[2]Commissioner Splits'!$A$4:$J$351, 5, FALSE)*$C46</f>
        <v>2.2500303428221194E-2</v>
      </c>
      <c r="J46" s="183">
        <f>VLOOKUP($G46, '[2]Commissioner Splits'!$A$4:$J$351, 7, FALSE)*$C46</f>
        <v>2.3345481406370085E-2</v>
      </c>
      <c r="K46" s="183">
        <f>VLOOKUP($G46, '[2]Commissioner Splits'!$A$4:$J$351, 10, FALSE)*$C46</f>
        <v>3.2010108524458254E-4</v>
      </c>
      <c r="L46" s="183">
        <f>VLOOKUP($G46, '[2]Commissioner Splits'!$A$4:$J$351, 4, FALSE)*$C46</f>
        <v>2.2161850358259936E-2</v>
      </c>
      <c r="M46" s="183">
        <f>VLOOKUP($G46, '[2]Commissioner Splits'!$A$4:$J$351, 6, FALSE)*$C46</f>
        <v>1.5838024810519331E-2</v>
      </c>
      <c r="N46" s="183">
        <f>VLOOKUP($G46, '[2]Commissioner Splits'!$A$4:$J$351, 8, FALSE)*$C46</f>
        <v>1.4178856467285001E-2</v>
      </c>
      <c r="O46" s="183">
        <f>VLOOKUP($G46, '[2]Commissioner Splits'!$A$4:$J$351, 9, FALSE)*$C46</f>
        <v>1.6553824440998872E-3</v>
      </c>
      <c r="P46" s="137">
        <f t="shared" si="7"/>
        <v>0.10000000000000002</v>
      </c>
    </row>
    <row r="47" spans="1:18" ht="18" customHeight="1" x14ac:dyDescent="0.25">
      <c r="A47" s="511">
        <v>14.43</v>
      </c>
      <c r="B47" s="352" t="s">
        <v>510</v>
      </c>
      <c r="C47" s="521">
        <v>2.57</v>
      </c>
      <c r="D47" s="521">
        <v>2.57</v>
      </c>
      <c r="E47" s="521">
        <v>2.57</v>
      </c>
      <c r="F47" s="132"/>
      <c r="G47" s="181">
        <v>86</v>
      </c>
      <c r="H47" s="182" t="str">
        <f>CONCATENATE(VLOOKUP($G47, '[2]Commissioner Splits'!$A$4:$C$351, 2, FALSE), " - ", VLOOKUP($G47, '[2]Commissioner Splits'!$A$4:$C$351, 3, FALSE))</f>
        <v>ABMU - NICU</v>
      </c>
      <c r="I47" s="183">
        <f>VLOOKUP($G47, '[2]Commissioner Splits'!$A$4:$J$351, 5, FALSE)*$C47</f>
        <v>1.4511812068306</v>
      </c>
      <c r="J47" s="183">
        <f>VLOOKUP($G47, '[2]Commissioner Splits'!$A$4:$J$351, 7, FALSE)*$C47</f>
        <v>1.7648113841802617E-2</v>
      </c>
      <c r="K47" s="183">
        <f>VLOOKUP($G47, '[2]Commissioner Splits'!$A$4:$J$351, 10, FALSE)*$C47</f>
        <v>0</v>
      </c>
      <c r="L47" s="183">
        <f>VLOOKUP($G47, '[2]Commissioner Splits'!$A$4:$J$351, 4, FALSE)*$C47</f>
        <v>0.14158016859632735</v>
      </c>
      <c r="M47" s="183">
        <f>VLOOKUP($G47, '[2]Commissioner Splits'!$A$4:$J$351, 6, FALSE)*$C47</f>
        <v>0.18691448070736577</v>
      </c>
      <c r="N47" s="183">
        <f>VLOOKUP($G47, '[2]Commissioner Splits'!$A$4:$J$351, 8, FALSE)*$C47</f>
        <v>0.71928195089874458</v>
      </c>
      <c r="O47" s="183">
        <f>VLOOKUP($G47, '[2]Commissioner Splits'!$A$4:$J$351, 9, FALSE)*$C47</f>
        <v>5.3394079125159026E-2</v>
      </c>
      <c r="P47" s="137">
        <f t="shared" si="7"/>
        <v>2.569999999999999</v>
      </c>
    </row>
    <row r="48" spans="1:18" ht="18" customHeight="1" x14ac:dyDescent="0.25">
      <c r="A48" s="517">
        <v>11.28</v>
      </c>
      <c r="B48" s="352" t="s">
        <v>511</v>
      </c>
      <c r="C48" s="521">
        <v>0.22500000000000001</v>
      </c>
      <c r="D48" s="521">
        <v>0.4</v>
      </c>
      <c r="E48" s="521">
        <v>0.4</v>
      </c>
      <c r="F48" s="132"/>
      <c r="G48" s="181">
        <v>279</v>
      </c>
      <c r="H48" s="182" t="str">
        <f>CONCATENATE(VLOOKUP($G48, '[2]Commissioner Splits'!$A$4:$C$351, 2, FALSE), " - ", VLOOKUP($G48, '[2]Commissioner Splits'!$A$4:$C$351, 3, FALSE))</f>
        <v xml:space="preserve">16/17 Developments - Neuroendocrine Tumours (NETs) 
 </v>
      </c>
      <c r="I48" s="183">
        <f>VLOOKUP($G48, '[2]Commissioner Splits'!$A$4:$J$351, 5, FALSE)*$C48</f>
        <v>5.0476985800537111E-2</v>
      </c>
      <c r="J48" s="183">
        <f>VLOOKUP($G48, '[2]Commissioner Splits'!$A$4:$J$351, 7, FALSE)*$C48</f>
        <v>5.6200912850455448E-2</v>
      </c>
      <c r="K48" s="183">
        <f>VLOOKUP($G48, '[2]Commissioner Splits'!$A$4:$J$351, 10, FALSE)*$C48</f>
        <v>0</v>
      </c>
      <c r="L48" s="183">
        <f>VLOOKUP($G48, '[2]Commissioner Splits'!$A$4:$J$351, 4, FALSE)*$C48</f>
        <v>4.603483019500388E-2</v>
      </c>
      <c r="M48" s="183">
        <f>VLOOKUP($G48, '[2]Commissioner Splits'!$A$4:$J$351, 6, FALSE)*$C48</f>
        <v>2.8571595617382359E-2</v>
      </c>
      <c r="N48" s="183">
        <f>VLOOKUP($G48, '[2]Commissioner Splits'!$A$4:$J$351, 8, FALSE)*$C48</f>
        <v>3.7236853901052004E-2</v>
      </c>
      <c r="O48" s="183">
        <f>VLOOKUP($G48, '[2]Commissioner Splits'!$A$4:$J$351, 9, FALSE)*$C48</f>
        <v>6.4788216355692067E-3</v>
      </c>
      <c r="P48" s="137">
        <f t="shared" si="7"/>
        <v>0.22499999999999998</v>
      </c>
    </row>
    <row r="49" spans="1:16" ht="18" customHeight="1" thickBot="1" x14ac:dyDescent="0.3">
      <c r="A49" s="514"/>
      <c r="B49" s="352"/>
      <c r="C49" s="522"/>
      <c r="D49" s="522"/>
      <c r="E49" s="522"/>
      <c r="F49" s="132"/>
      <c r="G49" s="185"/>
      <c r="H49" s="515"/>
      <c r="I49" s="516"/>
      <c r="J49" s="516"/>
      <c r="K49" s="516"/>
      <c r="L49" s="516"/>
      <c r="M49" s="516"/>
      <c r="N49" s="516"/>
      <c r="O49" s="516"/>
      <c r="P49" s="137">
        <f t="shared" si="7"/>
        <v>0</v>
      </c>
    </row>
    <row r="50" spans="1:16" ht="22.5" customHeight="1" thickBot="1" x14ac:dyDescent="0.3">
      <c r="A50" s="144"/>
      <c r="B50" s="143" t="s">
        <v>6</v>
      </c>
      <c r="C50" s="145">
        <f>SUM(C37:C49)</f>
        <v>4.484</v>
      </c>
      <c r="D50" s="145">
        <f>SUM(D37:D49)</f>
        <v>6.8660000000000005</v>
      </c>
      <c r="E50" s="145">
        <f>SUM(E37:E49)</f>
        <v>7.8660000000000014</v>
      </c>
      <c r="F50" s="132"/>
      <c r="G50" s="145"/>
      <c r="H50" s="145">
        <f>SUM(H37:H44)</f>
        <v>0</v>
      </c>
      <c r="I50" s="145">
        <f t="shared" ref="I50:P50" si="8">SUM(I37:I49)</f>
        <v>1.8410526898631103</v>
      </c>
      <c r="J50" s="145">
        <f t="shared" si="8"/>
        <v>0.42751679588476421</v>
      </c>
      <c r="K50" s="145">
        <f t="shared" si="8"/>
        <v>0.16025239226695237</v>
      </c>
      <c r="L50" s="145">
        <f t="shared" si="8"/>
        <v>0.58854865565681658</v>
      </c>
      <c r="M50" s="145">
        <f t="shared" si="8"/>
        <v>0.42651458922228203</v>
      </c>
      <c r="N50" s="145">
        <f t="shared" si="8"/>
        <v>0.92991875047501593</v>
      </c>
      <c r="O50" s="145">
        <f t="shared" si="8"/>
        <v>0.11019612663105792</v>
      </c>
      <c r="P50" s="145">
        <f t="shared" si="8"/>
        <v>4.4839999999999991</v>
      </c>
    </row>
    <row r="51" spans="1:16" ht="22.5" customHeight="1" x14ac:dyDescent="0.25">
      <c r="A51" s="357"/>
      <c r="B51" s="358"/>
      <c r="C51" s="359"/>
      <c r="D51" s="359"/>
      <c r="E51" s="359"/>
      <c r="F51" s="132"/>
      <c r="G51" s="359"/>
      <c r="H51" s="359"/>
      <c r="I51" s="359"/>
      <c r="J51" s="359"/>
      <c r="K51" s="359"/>
      <c r="L51" s="359"/>
      <c r="M51" s="359"/>
      <c r="N51" s="359"/>
      <c r="O51" s="359"/>
      <c r="P51" s="359"/>
    </row>
    <row r="52" spans="1:16" ht="15" x14ac:dyDescent="0.25">
      <c r="F52" s="132"/>
    </row>
  </sheetData>
  <mergeCells count="1">
    <mergeCell ref="A8:A10"/>
  </mergeCells>
  <pageMargins left="0.23622047244094491" right="0.23622047244094491" top="0.59055118110236227" bottom="0.59055118110236227" header="0.19685039370078741" footer="0.19685039370078741"/>
  <pageSetup paperSize="8" scale="54" fitToHeight="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W51"/>
  <sheetViews>
    <sheetView zoomScale="80" zoomScaleNormal="80" workbookViewId="0">
      <selection activeCell="J17" sqref="J17"/>
    </sheetView>
  </sheetViews>
  <sheetFormatPr defaultRowHeight="15" x14ac:dyDescent="0.25"/>
  <cols>
    <col min="1" max="1" width="82.7109375" customWidth="1"/>
    <col min="2" max="2" width="10" hidden="1" customWidth="1"/>
    <col min="3" max="9" width="15.85546875" customWidth="1"/>
    <col min="10" max="10" width="17.7109375" customWidth="1"/>
    <col min="11" max="11" width="18.42578125" customWidth="1"/>
    <col min="12" max="12" width="19.140625" hidden="1" customWidth="1"/>
    <col min="13" max="20" width="9.140625" hidden="1" customWidth="1"/>
    <col min="21" max="22" width="9.140625" customWidth="1"/>
    <col min="23" max="23" width="0" hidden="1" customWidth="1"/>
  </cols>
  <sheetData>
    <row r="1" spans="1:20" ht="26.25" x14ac:dyDescent="0.4">
      <c r="A1" s="14" t="str">
        <f>'Table 9 - CIAG Schemes'!A3</f>
        <v>WHSSC ICP Financial Tables</v>
      </c>
    </row>
    <row r="2" spans="1:20" ht="18.75" thickBot="1" x14ac:dyDescent="0.3">
      <c r="A2" s="25" t="s">
        <v>578</v>
      </c>
    </row>
    <row r="3" spans="1:20" ht="67.5" customHeight="1" x14ac:dyDescent="0.25">
      <c r="A3" s="21"/>
      <c r="C3" s="682" t="s">
        <v>436</v>
      </c>
      <c r="D3" s="683" t="s">
        <v>437</v>
      </c>
      <c r="E3" s="683" t="s">
        <v>438</v>
      </c>
      <c r="F3" s="683" t="s">
        <v>439</v>
      </c>
      <c r="G3" s="683" t="s">
        <v>441</v>
      </c>
      <c r="H3" s="683" t="s">
        <v>442</v>
      </c>
      <c r="I3" s="747" t="s">
        <v>440</v>
      </c>
      <c r="J3" s="579" t="s">
        <v>548</v>
      </c>
      <c r="M3" s="682" t="s">
        <v>436</v>
      </c>
      <c r="N3" s="683" t="s">
        <v>437</v>
      </c>
      <c r="O3" s="683" t="s">
        <v>438</v>
      </c>
      <c r="P3" s="683" t="s">
        <v>439</v>
      </c>
      <c r="Q3" s="683" t="s">
        <v>441</v>
      </c>
      <c r="R3" s="683" t="s">
        <v>442</v>
      </c>
      <c r="S3" s="646" t="s">
        <v>440</v>
      </c>
    </row>
    <row r="4" spans="1:20" ht="18.75" thickBot="1" x14ac:dyDescent="0.3">
      <c r="A4" s="25" t="s">
        <v>621</v>
      </c>
      <c r="B4">
        <v>0.02</v>
      </c>
      <c r="C4" s="647" t="s">
        <v>9</v>
      </c>
      <c r="D4" s="648" t="s">
        <v>9</v>
      </c>
      <c r="E4" s="648" t="s">
        <v>9</v>
      </c>
      <c r="F4" s="648" t="s">
        <v>9</v>
      </c>
      <c r="G4" s="648" t="s">
        <v>9</v>
      </c>
      <c r="H4" s="648" t="s">
        <v>9</v>
      </c>
      <c r="I4" s="748" t="s">
        <v>9</v>
      </c>
      <c r="J4" s="684" t="s">
        <v>9</v>
      </c>
    </row>
    <row r="5" spans="1:20" ht="22.5" customHeight="1" x14ac:dyDescent="0.25">
      <c r="A5" s="636" t="s">
        <v>549</v>
      </c>
      <c r="B5" s="650"/>
      <c r="C5" s="595">
        <f>[3]Income!$CE$20/1000</f>
        <v>19.969839000000004</v>
      </c>
      <c r="D5" s="596">
        <f>[3]Income!$CE$22/1000</f>
        <v>23.811563000000003</v>
      </c>
      <c r="E5" s="596">
        <f>[3]Income!$CE$25/1000</f>
        <v>36.581590999999996</v>
      </c>
      <c r="F5" s="596">
        <f>[3]Income!$CE$19/1000</f>
        <v>17.101161999999992</v>
      </c>
      <c r="G5" s="596">
        <f>[3]Income!$CE$21/1000</f>
        <v>13.427936999999996</v>
      </c>
      <c r="H5" s="596">
        <f>[3]Income!$CE$23/1000</f>
        <v>19.489368000000002</v>
      </c>
      <c r="I5" s="749">
        <f>[3]Income!$CE$24/1000</f>
        <v>10.589307000000002</v>
      </c>
      <c r="J5" s="598">
        <f>SUM(C5:I5)</f>
        <v>140.970767</v>
      </c>
    </row>
    <row r="6" spans="1:20" ht="22.5" customHeight="1" x14ac:dyDescent="0.3">
      <c r="A6" s="638" t="s">
        <v>550</v>
      </c>
      <c r="B6" s="652"/>
      <c r="C6" s="605">
        <f>-D40</f>
        <v>-0.10697015156180353</v>
      </c>
      <c r="D6" s="685">
        <f>-E40</f>
        <v>-0.15479586813571167</v>
      </c>
      <c r="E6" s="685">
        <f>-C40</f>
        <v>-0.13791868245538402</v>
      </c>
      <c r="F6" s="685">
        <f>-F40</f>
        <v>-0.13466418344290157</v>
      </c>
      <c r="G6" s="685">
        <f>-G40</f>
        <v>-8.4770626665114299E-2</v>
      </c>
      <c r="H6" s="685">
        <f>-H40</f>
        <v>-5.5860578382645319E-2</v>
      </c>
      <c r="I6" s="750">
        <f>-I40</f>
        <v>-3.409891532277403E-2</v>
      </c>
      <c r="J6" s="608">
        <f>SUM(C6:I6)</f>
        <v>-0.70907900596633444</v>
      </c>
    </row>
    <row r="7" spans="1:20" ht="22.5" customHeight="1" thickBot="1" x14ac:dyDescent="0.35">
      <c r="A7" s="638" t="s">
        <v>551</v>
      </c>
      <c r="B7" s="652"/>
      <c r="C7" s="605">
        <f>-D45</f>
        <v>-5.5374000000000007E-2</v>
      </c>
      <c r="D7" s="685">
        <f>-E45</f>
        <v>-6.5958000000000003E-2</v>
      </c>
      <c r="E7" s="685">
        <f>-C45</f>
        <v>-0.10183399999999999</v>
      </c>
      <c r="F7" s="685">
        <f>-F45</f>
        <v>-4.7295000000000004E-2</v>
      </c>
      <c r="G7" s="685">
        <f>-G45</f>
        <v>-3.5868000000000004E-2</v>
      </c>
      <c r="H7" s="685">
        <f>-H45</f>
        <v>-5.4210000000000001E-2</v>
      </c>
      <c r="I7" s="750">
        <f>-I45</f>
        <v>-2.9462000000000002E-2</v>
      </c>
      <c r="J7" s="608">
        <f>SUM(C7:I7)</f>
        <v>-0.39000099999999999</v>
      </c>
    </row>
    <row r="8" spans="1:20" ht="22.5" customHeight="1" thickBot="1" x14ac:dyDescent="0.4">
      <c r="A8" s="594" t="s">
        <v>552</v>
      </c>
      <c r="B8" s="642"/>
      <c r="C8" s="620">
        <f t="shared" ref="C8:J8" si="0">SUM(C5:C7)</f>
        <v>19.8074948484382</v>
      </c>
      <c r="D8" s="621">
        <f t="shared" si="0"/>
        <v>23.590809131864294</v>
      </c>
      <c r="E8" s="621">
        <f t="shared" si="0"/>
        <v>36.341838317544614</v>
      </c>
      <c r="F8" s="621">
        <f t="shared" si="0"/>
        <v>16.919202816557092</v>
      </c>
      <c r="G8" s="621">
        <f t="shared" si="0"/>
        <v>13.307298373334881</v>
      </c>
      <c r="H8" s="621">
        <f t="shared" si="0"/>
        <v>19.379297421617355</v>
      </c>
      <c r="I8" s="751">
        <f t="shared" si="0"/>
        <v>10.525746084677227</v>
      </c>
      <c r="J8" s="623">
        <f t="shared" si="0"/>
        <v>139.87168699403364</v>
      </c>
    </row>
    <row r="9" spans="1:20" ht="22.5" customHeight="1" x14ac:dyDescent="0.3">
      <c r="A9" s="638" t="s">
        <v>553</v>
      </c>
      <c r="B9" s="652"/>
      <c r="C9" s="605"/>
      <c r="D9" s="685"/>
      <c r="E9" s="685"/>
      <c r="F9" s="685"/>
      <c r="G9" s="685"/>
      <c r="H9" s="685"/>
      <c r="I9" s="750"/>
      <c r="J9" s="608"/>
    </row>
    <row r="10" spans="1:20" ht="22.5" customHeight="1" x14ac:dyDescent="0.3">
      <c r="A10" s="638" t="s">
        <v>554</v>
      </c>
      <c r="B10" s="652"/>
      <c r="C10" s="605">
        <f>-[3]Income!$CA$20/1000</f>
        <v>-9.4561999999999993E-2</v>
      </c>
      <c r="D10" s="685">
        <f>-[3]Income!$CA$22/1000</f>
        <v>-0.112637</v>
      </c>
      <c r="E10" s="685">
        <f>-[3]Income!$CA$25/1000</f>
        <v>-0.173901</v>
      </c>
      <c r="F10" s="685">
        <f>-[3]Income!$CA$19/1000</f>
        <v>-8.0764000000000002E-2</v>
      </c>
      <c r="G10" s="685">
        <f>-[3]Income!$CA$21/1000</f>
        <v>-6.1251E-2</v>
      </c>
      <c r="H10" s="685">
        <f>-[3]Income!$CA$23/1000</f>
        <v>-9.2572999999999989E-2</v>
      </c>
      <c r="I10" s="750">
        <f>-[3]Income!$CA$24/1000</f>
        <v>-5.0311000000000002E-2</v>
      </c>
      <c r="J10" s="608">
        <f>SUM(C10:I10)</f>
        <v>-0.66599900000000001</v>
      </c>
    </row>
    <row r="11" spans="1:20" ht="22.5" customHeight="1" x14ac:dyDescent="0.3">
      <c r="A11" s="638" t="s">
        <v>557</v>
      </c>
      <c r="B11" s="652"/>
      <c r="C11" s="605">
        <v>8.8315000000000005E-2</v>
      </c>
      <c r="D11" s="685">
        <v>0.105195</v>
      </c>
      <c r="E11" s="685">
        <v>0.162412</v>
      </c>
      <c r="F11" s="685">
        <v>7.5428999999999996E-2</v>
      </c>
      <c r="G11" s="685">
        <v>5.7204999999999999E-2</v>
      </c>
      <c r="H11" s="685">
        <v>8.6457000000000006E-2</v>
      </c>
      <c r="I11" s="750">
        <v>4.6987000000000001E-2</v>
      </c>
      <c r="J11" s="608">
        <f>SUM(C11:I11)</f>
        <v>0.622</v>
      </c>
    </row>
    <row r="12" spans="1:20" ht="22.5" customHeight="1" thickBot="1" x14ac:dyDescent="0.35">
      <c r="A12" s="638" t="s">
        <v>559</v>
      </c>
      <c r="B12" s="652"/>
      <c r="C12" s="605">
        <v>4.9340145478364711E-2</v>
      </c>
      <c r="D12" s="685">
        <v>5.875603868992222E-2</v>
      </c>
      <c r="E12" s="685">
        <v>9.0722935357428314E-2</v>
      </c>
      <c r="F12" s="685">
        <v>4.2147404698557288E-2</v>
      </c>
      <c r="G12" s="685">
        <v>3.196689666750608E-2</v>
      </c>
      <c r="H12" s="685">
        <v>4.8297811269384192E-2</v>
      </c>
      <c r="I12" s="750">
        <v>2.6233703243442496E-2</v>
      </c>
      <c r="J12" s="608">
        <f>SUM(C12:I12)</f>
        <v>0.34746493540460532</v>
      </c>
    </row>
    <row r="13" spans="1:20" ht="22.5" customHeight="1" thickBot="1" x14ac:dyDescent="0.4">
      <c r="A13" s="594" t="s">
        <v>555</v>
      </c>
      <c r="B13" s="642"/>
      <c r="C13" s="621">
        <f>SUM(C8:C12)</f>
        <v>19.850587993916566</v>
      </c>
      <c r="D13" s="621">
        <f t="shared" ref="D13:I13" si="1">SUM(D8:D12)</f>
        <v>23.642123170554214</v>
      </c>
      <c r="E13" s="621">
        <f t="shared" si="1"/>
        <v>36.421072252902043</v>
      </c>
      <c r="F13" s="621">
        <f t="shared" si="1"/>
        <v>16.956015221255651</v>
      </c>
      <c r="G13" s="621">
        <f t="shared" si="1"/>
        <v>13.335219270002385</v>
      </c>
      <c r="H13" s="621">
        <f t="shared" si="1"/>
        <v>19.421479232886739</v>
      </c>
      <c r="I13" s="751">
        <f t="shared" si="1"/>
        <v>10.548655787920667</v>
      </c>
      <c r="J13" s="623">
        <f>SUM(C13:I13)</f>
        <v>140.17515292943827</v>
      </c>
    </row>
    <row r="14" spans="1:20" ht="22.5" customHeight="1" x14ac:dyDescent="0.3">
      <c r="A14" s="638" t="s">
        <v>602</v>
      </c>
      <c r="B14" s="652"/>
      <c r="C14" s="743">
        <f>C13*0.02</f>
        <v>0.39701175987833132</v>
      </c>
      <c r="D14" s="744">
        <f t="shared" ref="D14:I14" si="2">D13*0.02</f>
        <v>0.47284246341108427</v>
      </c>
      <c r="E14" s="744">
        <f t="shared" si="2"/>
        <v>0.72842144505804085</v>
      </c>
      <c r="F14" s="744">
        <f t="shared" si="2"/>
        <v>0.33912030442511304</v>
      </c>
      <c r="G14" s="744">
        <f t="shared" si="2"/>
        <v>0.26670438540004771</v>
      </c>
      <c r="H14" s="744">
        <f t="shared" si="2"/>
        <v>0.38842958465773481</v>
      </c>
      <c r="I14" s="752">
        <f t="shared" si="2"/>
        <v>0.21097311575841335</v>
      </c>
      <c r="J14" s="608">
        <f>SUM(C14:I14)</f>
        <v>2.8035030585887655</v>
      </c>
    </row>
    <row r="15" spans="1:20" ht="22.5" customHeight="1" x14ac:dyDescent="0.3">
      <c r="A15" s="686" t="s">
        <v>556</v>
      </c>
      <c r="B15" s="652"/>
      <c r="C15" s="605"/>
      <c r="D15" s="685"/>
      <c r="E15" s="685"/>
      <c r="F15" s="685"/>
      <c r="G15" s="685"/>
      <c r="H15" s="685"/>
      <c r="I15" s="750"/>
      <c r="J15" s="608"/>
    </row>
    <row r="16" spans="1:20" ht="22.5" customHeight="1" x14ac:dyDescent="0.3">
      <c r="A16" s="638" t="s">
        <v>558</v>
      </c>
      <c r="B16" s="652"/>
      <c r="C16" s="605">
        <v>0.50789200000000001</v>
      </c>
      <c r="D16" s="685">
        <v>0.60497000000000001</v>
      </c>
      <c r="E16" s="685">
        <v>0.93402200000000002</v>
      </c>
      <c r="F16" s="685">
        <v>0.43378499999999998</v>
      </c>
      <c r="G16" s="685">
        <v>0.32898100000000002</v>
      </c>
      <c r="H16" s="685">
        <v>0.49721100000000001</v>
      </c>
      <c r="I16" s="607">
        <v>0.27022000000000002</v>
      </c>
      <c r="J16" s="608">
        <f>SUM(C16:I16)</f>
        <v>3.5770810000000002</v>
      </c>
      <c r="M16" s="356">
        <f>C16/$J$16</f>
        <v>0.14198504311196755</v>
      </c>
      <c r="N16" s="356">
        <f t="shared" ref="N16:S16" si="3">D16/$J$16</f>
        <v>0.16912393093698463</v>
      </c>
      <c r="O16" s="356">
        <f t="shared" si="3"/>
        <v>0.26111290183252767</v>
      </c>
      <c r="P16" s="356">
        <f t="shared" si="3"/>
        <v>0.1212678717647154</v>
      </c>
      <c r="Q16" s="356">
        <f t="shared" si="3"/>
        <v>9.1969122309503201E-2</v>
      </c>
      <c r="R16" s="356">
        <f t="shared" si="3"/>
        <v>0.13899908892194501</v>
      </c>
      <c r="S16" s="356">
        <f t="shared" si="3"/>
        <v>7.5542041122356476E-2</v>
      </c>
      <c r="T16" s="356">
        <f>SUM(M16:S16)</f>
        <v>1</v>
      </c>
    </row>
    <row r="17" spans="1:20" ht="22.5" customHeight="1" x14ac:dyDescent="0.3">
      <c r="A17" s="638" t="s">
        <v>601</v>
      </c>
      <c r="B17" s="652"/>
      <c r="C17" s="605">
        <f>M17</f>
        <v>0.24137457329034484</v>
      </c>
      <c r="D17" s="685">
        <f t="shared" ref="D17:I17" si="4">N17</f>
        <v>0.28751068259287388</v>
      </c>
      <c r="E17" s="685">
        <f t="shared" si="4"/>
        <v>0.44389193311529701</v>
      </c>
      <c r="F17" s="685">
        <f t="shared" si="4"/>
        <v>0.20615538200001618</v>
      </c>
      <c r="G17" s="685">
        <f t="shared" si="4"/>
        <v>0.15634750792615543</v>
      </c>
      <c r="H17" s="685">
        <f t="shared" si="4"/>
        <v>0.23629845116730652</v>
      </c>
      <c r="I17" s="607">
        <f t="shared" si="4"/>
        <v>0.12842146990800601</v>
      </c>
      <c r="J17" s="608">
        <f>SUM(C17:I17)</f>
        <v>1.6999999999999997</v>
      </c>
      <c r="L17">
        <v>1.7</v>
      </c>
      <c r="M17" s="754">
        <f>$L$17*M16</f>
        <v>0.24137457329034484</v>
      </c>
      <c r="N17" s="754">
        <f t="shared" ref="N17:S17" si="5">$L$17*N16</f>
        <v>0.28751068259287388</v>
      </c>
      <c r="O17" s="754">
        <f t="shared" si="5"/>
        <v>0.44389193311529701</v>
      </c>
      <c r="P17" s="754">
        <f t="shared" si="5"/>
        <v>0.20615538200001618</v>
      </c>
      <c r="Q17" s="754">
        <f t="shared" si="5"/>
        <v>0.15634750792615543</v>
      </c>
      <c r="R17" s="754">
        <f t="shared" si="5"/>
        <v>0.23629845116730652</v>
      </c>
      <c r="S17" s="754">
        <f t="shared" si="5"/>
        <v>0.12842146990800601</v>
      </c>
      <c r="T17" s="356"/>
    </row>
    <row r="18" spans="1:20" ht="22.5" customHeight="1" x14ac:dyDescent="0.3">
      <c r="A18" s="686" t="s">
        <v>600</v>
      </c>
      <c r="B18" s="652"/>
      <c r="C18" s="605"/>
      <c r="D18" s="685"/>
      <c r="E18" s="685"/>
      <c r="F18" s="685"/>
      <c r="G18" s="685"/>
      <c r="H18" s="685"/>
      <c r="I18" s="607"/>
      <c r="J18" s="608"/>
      <c r="M18" s="356"/>
      <c r="N18" s="356"/>
      <c r="O18" s="356"/>
      <c r="P18" s="356"/>
      <c r="Q18" s="356"/>
      <c r="R18" s="356"/>
      <c r="S18" s="356"/>
      <c r="T18" s="356"/>
    </row>
    <row r="19" spans="1:20" ht="22.5" customHeight="1" x14ac:dyDescent="0.3">
      <c r="A19" s="737" t="s">
        <v>599</v>
      </c>
      <c r="B19" s="745"/>
      <c r="C19" s="746">
        <v>0.31281289049654715</v>
      </c>
      <c r="D19" s="738">
        <v>0.3725514633344294</v>
      </c>
      <c r="E19" s="738">
        <v>0.57511953304833929</v>
      </c>
      <c r="F19" s="738">
        <v>0.26719434396580077</v>
      </c>
      <c r="G19" s="738">
        <v>0.20256806971390989</v>
      </c>
      <c r="H19" s="738">
        <v>0.30629595527786913</v>
      </c>
      <c r="I19" s="739">
        <v>0.16545774416310424</v>
      </c>
      <c r="J19" s="608">
        <f>SUM(C19:I19)</f>
        <v>2.202</v>
      </c>
      <c r="M19" s="356"/>
      <c r="N19" s="356"/>
      <c r="O19" s="356"/>
      <c r="P19" s="356"/>
      <c r="Q19" s="356"/>
      <c r="R19" s="356"/>
      <c r="S19" s="356"/>
      <c r="T19" s="356"/>
    </row>
    <row r="20" spans="1:20" ht="22.5" customHeight="1" x14ac:dyDescent="0.3">
      <c r="A20" s="638"/>
      <c r="B20" s="652"/>
      <c r="C20" s="605"/>
      <c r="D20" s="685"/>
      <c r="E20" s="685"/>
      <c r="F20" s="685"/>
      <c r="G20" s="685"/>
      <c r="H20" s="685"/>
      <c r="I20" s="607"/>
      <c r="J20" s="608"/>
    </row>
    <row r="21" spans="1:20" ht="22.5" customHeight="1" thickBot="1" x14ac:dyDescent="0.35">
      <c r="A21" s="674" t="s">
        <v>560</v>
      </c>
      <c r="B21" s="675"/>
      <c r="C21" s="740">
        <f>C10+C14+C11+C16+C12+C19+C17</f>
        <v>1.5021843691435883</v>
      </c>
      <c r="D21" s="741">
        <f t="shared" ref="D21:I21" si="6">D10+D14+D11+D16+D12+D19+D17</f>
        <v>1.7891886480283097</v>
      </c>
      <c r="E21" s="741">
        <f t="shared" si="6"/>
        <v>2.7606888465791055</v>
      </c>
      <c r="F21" s="741">
        <f t="shared" si="6"/>
        <v>1.2830674350894873</v>
      </c>
      <c r="G21" s="741">
        <f t="shared" si="6"/>
        <v>0.98252185970761907</v>
      </c>
      <c r="H21" s="741">
        <f t="shared" si="6"/>
        <v>1.4704168023722948</v>
      </c>
      <c r="I21" s="742">
        <f t="shared" si="6"/>
        <v>0.79798203307296611</v>
      </c>
      <c r="J21" s="753">
        <f>SUM(C21:I21)</f>
        <v>10.58604999399337</v>
      </c>
    </row>
    <row r="22" spans="1:20" ht="22.5" customHeight="1" thickBot="1" x14ac:dyDescent="0.4">
      <c r="A22" s="594" t="s">
        <v>622</v>
      </c>
      <c r="B22" s="642"/>
      <c r="C22" s="620">
        <f t="shared" ref="C22:I22" si="7">C21+C8</f>
        <v>21.309679217581788</v>
      </c>
      <c r="D22" s="621">
        <f t="shared" si="7"/>
        <v>25.379997779892605</v>
      </c>
      <c r="E22" s="621">
        <f t="shared" si="7"/>
        <v>39.102527164123721</v>
      </c>
      <c r="F22" s="621">
        <f t="shared" si="7"/>
        <v>18.202270251646581</v>
      </c>
      <c r="G22" s="621">
        <f t="shared" si="7"/>
        <v>14.2898202330425</v>
      </c>
      <c r="H22" s="621">
        <f t="shared" si="7"/>
        <v>20.84971422398965</v>
      </c>
      <c r="I22" s="751">
        <f t="shared" si="7"/>
        <v>11.323728117750193</v>
      </c>
      <c r="J22" s="623">
        <f>SUM(C22:I22)</f>
        <v>150.45773698802702</v>
      </c>
    </row>
    <row r="23" spans="1:20" ht="22.5" customHeight="1" thickBot="1" x14ac:dyDescent="0.35">
      <c r="A23" s="686" t="s">
        <v>561</v>
      </c>
      <c r="B23" s="652"/>
      <c r="C23" s="605">
        <f t="shared" ref="C23:I23" si="8">-C6+-C7</f>
        <v>0.16234415156180354</v>
      </c>
      <c r="D23" s="685">
        <f t="shared" si="8"/>
        <v>0.22075386813571168</v>
      </c>
      <c r="E23" s="685">
        <f t="shared" si="8"/>
        <v>0.239752682455384</v>
      </c>
      <c r="F23" s="685">
        <f t="shared" si="8"/>
        <v>0.18195918344290157</v>
      </c>
      <c r="G23" s="685">
        <f t="shared" si="8"/>
        <v>0.1206386266651143</v>
      </c>
      <c r="H23" s="685">
        <f t="shared" si="8"/>
        <v>0.11007057838264532</v>
      </c>
      <c r="I23" s="750">
        <f t="shared" si="8"/>
        <v>6.3560915322774025E-2</v>
      </c>
      <c r="J23" s="608">
        <f>SUM(C23:I23)</f>
        <v>1.0990800059663344</v>
      </c>
    </row>
    <row r="24" spans="1:20" ht="22.5" customHeight="1" thickBot="1" x14ac:dyDescent="0.35">
      <c r="A24" s="594" t="s">
        <v>562</v>
      </c>
      <c r="B24" s="594"/>
      <c r="C24" s="620">
        <f>C22+C23</f>
        <v>21.472023369143592</v>
      </c>
      <c r="D24" s="621">
        <f t="shared" ref="D24:J24" si="9">D22+D23</f>
        <v>25.600751648028318</v>
      </c>
      <c r="E24" s="621">
        <f t="shared" si="9"/>
        <v>39.342279846579103</v>
      </c>
      <c r="F24" s="621">
        <f t="shared" si="9"/>
        <v>18.384229435089484</v>
      </c>
      <c r="G24" s="621">
        <f t="shared" si="9"/>
        <v>14.410458859707614</v>
      </c>
      <c r="H24" s="621">
        <f t="shared" si="9"/>
        <v>20.959784802372297</v>
      </c>
      <c r="I24" s="751">
        <f t="shared" si="9"/>
        <v>11.387289033072967</v>
      </c>
      <c r="J24" s="623">
        <f t="shared" si="9"/>
        <v>151.55681699399335</v>
      </c>
    </row>
    <row r="25" spans="1:20" ht="22.5" customHeight="1" x14ac:dyDescent="0.25"/>
    <row r="26" spans="1:20" ht="22.5" hidden="1" customHeight="1" thickBot="1" x14ac:dyDescent="0.4">
      <c r="A26" s="687" t="s">
        <v>563</v>
      </c>
      <c r="B26" s="688"/>
      <c r="C26" s="689">
        <v>2.4829214366442383</v>
      </c>
      <c r="D26" s="690">
        <v>3.2084979495028958</v>
      </c>
      <c r="E26" s="690">
        <v>4.4394939093027004</v>
      </c>
      <c r="F26" s="690">
        <v>3.6263074696794177</v>
      </c>
      <c r="G26" s="690">
        <v>1.94744566444304</v>
      </c>
      <c r="H26" s="690">
        <v>2.2003231625846804</v>
      </c>
      <c r="I26" s="691">
        <v>0.67068386173688743</v>
      </c>
      <c r="J26" s="692">
        <v>18.575673453893856</v>
      </c>
    </row>
    <row r="27" spans="1:20" ht="22.5" hidden="1" customHeight="1" thickBot="1" x14ac:dyDescent="0.4">
      <c r="A27" s="594" t="s">
        <v>564</v>
      </c>
      <c r="B27" s="642"/>
      <c r="C27" s="620">
        <v>100.06692143664424</v>
      </c>
      <c r="D27" s="621">
        <v>109.25149794950291</v>
      </c>
      <c r="E27" s="621">
        <v>125.9874939093027</v>
      </c>
      <c r="F27" s="621">
        <v>102.16830746967942</v>
      </c>
      <c r="G27" s="621">
        <v>52.715445664443038</v>
      </c>
      <c r="H27" s="621">
        <v>62.336323162584684</v>
      </c>
      <c r="I27" s="622">
        <v>22.634683861736885</v>
      </c>
      <c r="J27" s="623">
        <v>575.16067345389388</v>
      </c>
    </row>
    <row r="28" spans="1:20" ht="28.5" hidden="1" customHeight="1" thickBot="1" x14ac:dyDescent="0.4">
      <c r="A28" s="693" t="s">
        <v>565</v>
      </c>
      <c r="B28" s="694"/>
      <c r="C28" s="695">
        <f t="shared" ref="C28:I28" si="10">C27+C24</f>
        <v>121.53894480578782</v>
      </c>
      <c r="D28" s="696">
        <f t="shared" si="10"/>
        <v>134.85224959753123</v>
      </c>
      <c r="E28" s="696">
        <f t="shared" si="10"/>
        <v>165.3297737558818</v>
      </c>
      <c r="F28" s="696">
        <f t="shared" si="10"/>
        <v>120.5525369047689</v>
      </c>
      <c r="G28" s="696">
        <f t="shared" si="10"/>
        <v>67.125904524150656</v>
      </c>
      <c r="H28" s="696">
        <f t="shared" si="10"/>
        <v>83.296107964956974</v>
      </c>
      <c r="I28" s="697">
        <f t="shared" si="10"/>
        <v>34.021972894809849</v>
      </c>
      <c r="J28" s="695">
        <f>SUM(C28:I28)</f>
        <v>726.71749044788726</v>
      </c>
    </row>
    <row r="29" spans="1:20" ht="28.5" customHeight="1" x14ac:dyDescent="0.25"/>
    <row r="30" spans="1:20" ht="28.5" hidden="1" customHeight="1" x14ac:dyDescent="0.25"/>
    <row r="31" spans="1:20" hidden="1" x14ac:dyDescent="0.25">
      <c r="A31" s="698"/>
    </row>
    <row r="32" spans="1:20" ht="15.75" hidden="1" thickBot="1" x14ac:dyDescent="0.3">
      <c r="C32" s="699" t="s">
        <v>170</v>
      </c>
      <c r="D32" s="699" t="s">
        <v>236</v>
      </c>
      <c r="E32" s="699" t="s">
        <v>167</v>
      </c>
      <c r="F32" s="699" t="s">
        <v>165</v>
      </c>
      <c r="G32" s="699" t="s">
        <v>166</v>
      </c>
      <c r="H32" s="699" t="s">
        <v>168</v>
      </c>
      <c r="I32" s="700" t="s">
        <v>566</v>
      </c>
      <c r="L32" s="699" t="s">
        <v>170</v>
      </c>
      <c r="M32" s="699" t="s">
        <v>236</v>
      </c>
      <c r="N32" s="699" t="s">
        <v>167</v>
      </c>
      <c r="O32" s="699" t="s">
        <v>165</v>
      </c>
      <c r="P32" s="699" t="s">
        <v>166</v>
      </c>
      <c r="Q32" s="699" t="s">
        <v>168</v>
      </c>
      <c r="R32" s="700" t="s">
        <v>566</v>
      </c>
    </row>
    <row r="33" spans="1:18" hidden="1" x14ac:dyDescent="0.25">
      <c r="A33" s="701" t="s">
        <v>567</v>
      </c>
      <c r="B33" s="702" t="s">
        <v>568</v>
      </c>
      <c r="C33" s="703">
        <f>3.925/13.861*0.375</f>
        <v>0.10618822595772311</v>
      </c>
      <c r="D33" s="703">
        <f>1.26/13.861*0.375</f>
        <v>3.4088449606810477E-2</v>
      </c>
      <c r="E33" s="703">
        <f>3.184/13.861*0.375</f>
        <v>8.6140971069908381E-2</v>
      </c>
      <c r="F33" s="703">
        <f>3.268/13.861*0.375</f>
        <v>8.8413534377029063E-2</v>
      </c>
      <c r="G33" s="703">
        <f>1.73/13.861*0.375</f>
        <v>4.6803982396652476E-2</v>
      </c>
      <c r="H33" s="703">
        <f>-0.105/13.861*0.375</f>
        <v>-2.8407041339008725E-3</v>
      </c>
      <c r="I33" s="704">
        <f>0.599/13.861*0.375</f>
        <v>1.6205540725777359E-2</v>
      </c>
      <c r="J33" s="705">
        <f t="shared" ref="J33" si="11">SUM(C33:I33)</f>
        <v>0.37499999999999994</v>
      </c>
    </row>
    <row r="34" spans="1:18" hidden="1" x14ac:dyDescent="0.25">
      <c r="A34" s="701" t="s">
        <v>567</v>
      </c>
      <c r="B34" s="702" t="s">
        <v>568</v>
      </c>
      <c r="C34" s="703">
        <f>0.935602443818027/17.440104*0.375</f>
        <v>2.0117478452637675E-2</v>
      </c>
      <c r="D34" s="703">
        <f>4.1456675957682/17.440104*0.375</f>
        <v>8.9140830147175415E-2</v>
      </c>
      <c r="E34" s="703">
        <f>3.85264974853551/17.440104*0.375</f>
        <v>8.2840311944287495E-2</v>
      </c>
      <c r="F34" s="703">
        <f>2.5756384298987/17.440104*0.375</f>
        <v>5.538180341195284E-2</v>
      </c>
      <c r="G34" s="703">
        <f>1.73607272823542/17.440104*0.375</f>
        <v>3.7329322869191744E-2</v>
      </c>
      <c r="H34" s="703">
        <f>3.1294143171261/17.440104*0.375</f>
        <v>6.7289184108207584E-2</v>
      </c>
      <c r="I34" s="704">
        <f>1.06505909174942/17.440104*0.375</f>
        <v>2.2901076702640792E-2</v>
      </c>
      <c r="J34" s="705">
        <f t="shared" ref="J34:J36" si="12">SUM(C34:I34)</f>
        <v>0.37500000763609359</v>
      </c>
    </row>
    <row r="35" spans="1:18" hidden="1" x14ac:dyDescent="0.25">
      <c r="A35" s="701" t="s">
        <v>569</v>
      </c>
      <c r="B35" s="702" t="s">
        <v>568</v>
      </c>
      <c r="C35" s="703">
        <f>0.935602443818027/17.440104*-0.082</f>
        <v>-4.3990219549767716E-3</v>
      </c>
      <c r="D35" s="703">
        <f>4.1456675957682/17.440104*-0.082</f>
        <v>-1.9492128192182361E-2</v>
      </c>
      <c r="E35" s="703">
        <f>3.85264974853551/17.440104*-0.082</f>
        <v>-1.8114414878484201E-2</v>
      </c>
      <c r="F35" s="703">
        <f>2.5756384298987/17.440104*-0.082</f>
        <v>-1.2110154346080353E-2</v>
      </c>
      <c r="G35" s="703">
        <f>1.73607272823542/17.440104*-0.082</f>
        <v>-8.1626786007299289E-3</v>
      </c>
      <c r="H35" s="703">
        <f>3.1294143171261/17.440104*-0.082</f>
        <v>-1.4713901591661391E-2</v>
      </c>
      <c r="I35" s="704">
        <f>1.06505909174942/17.440104*-0.082</f>
        <v>-5.0077021056441203E-3</v>
      </c>
      <c r="J35" s="705">
        <f t="shared" si="12"/>
        <v>-8.2000001669759126E-2</v>
      </c>
    </row>
    <row r="36" spans="1:18" hidden="1" x14ac:dyDescent="0.25">
      <c r="A36" s="701" t="s">
        <v>570</v>
      </c>
      <c r="B36" s="702"/>
      <c r="C36" s="703"/>
      <c r="D36" s="703"/>
      <c r="E36" s="703"/>
      <c r="F36" s="703"/>
      <c r="G36" s="703">
        <v>4.0800000000000003E-3</v>
      </c>
      <c r="H36" s="703"/>
      <c r="I36" s="704"/>
      <c r="J36" s="705">
        <f t="shared" si="12"/>
        <v>4.0800000000000003E-3</v>
      </c>
    </row>
    <row r="37" spans="1:18" hidden="1" x14ac:dyDescent="0.25"/>
    <row r="38" spans="1:18" hidden="1" x14ac:dyDescent="0.25">
      <c r="A38" s="706" t="s">
        <v>571</v>
      </c>
      <c r="C38" s="707">
        <f>[3]Income!$CC$25/1000</f>
        <v>1.6012000000000002E-2</v>
      </c>
      <c r="D38">
        <f>[3]Income!$CC$20/1000</f>
        <v>3.2330000000000002E-3</v>
      </c>
      <c r="E38">
        <f>[3]Income!$CC$22/1000</f>
        <v>3.9290000000000002E-3</v>
      </c>
      <c r="F38">
        <f>[3]Income!$CC$19/1000</f>
        <v>2.9789999999999999E-3</v>
      </c>
      <c r="G38">
        <f>[3]Income!$CC$21/1000</f>
        <v>4.7199999999999994E-3</v>
      </c>
      <c r="H38">
        <f>[3]Income!$CC$23/1000</f>
        <v>6.1260000000000004E-3</v>
      </c>
      <c r="I38" s="708">
        <f>[3]Income!$CC$24/1000</f>
        <v>0</v>
      </c>
      <c r="J38" s="709">
        <f>SUM(C38:I38)</f>
        <v>3.6998999999999997E-2</v>
      </c>
      <c r="L38" s="122">
        <f>C38/$J$38</f>
        <v>0.43276845320143797</v>
      </c>
      <c r="M38" s="122">
        <f t="shared" ref="M38:R38" si="13">D38/$J$38</f>
        <v>8.7380740020000555E-2</v>
      </c>
      <c r="N38" s="122">
        <f t="shared" si="13"/>
        <v>0.10619205924484447</v>
      </c>
      <c r="O38" s="122">
        <f t="shared" si="13"/>
        <v>8.0515689613232799E-2</v>
      </c>
      <c r="P38" s="122">
        <f t="shared" si="13"/>
        <v>0.12757101543284952</v>
      </c>
      <c r="Q38" s="122">
        <f t="shared" si="13"/>
        <v>0.16557204248763482</v>
      </c>
      <c r="R38" s="122">
        <f t="shared" si="13"/>
        <v>0</v>
      </c>
    </row>
    <row r="39" spans="1:18" hidden="1" x14ac:dyDescent="0.25">
      <c r="J39" s="709"/>
    </row>
    <row r="40" spans="1:18" hidden="1" x14ac:dyDescent="0.25">
      <c r="C40" s="707">
        <f>SUM(C33:C38)</f>
        <v>0.13791868245538402</v>
      </c>
      <c r="D40" s="707">
        <f t="shared" ref="D40:I40" si="14">SUM(D33:D38)</f>
        <v>0.10697015156180353</v>
      </c>
      <c r="E40" s="707">
        <f t="shared" si="14"/>
        <v>0.15479586813571167</v>
      </c>
      <c r="F40" s="707">
        <f t="shared" si="14"/>
        <v>0.13466418344290157</v>
      </c>
      <c r="G40" s="707">
        <f t="shared" si="14"/>
        <v>8.4770626665114299E-2</v>
      </c>
      <c r="H40" s="707">
        <f t="shared" si="14"/>
        <v>5.5860578382645319E-2</v>
      </c>
      <c r="I40" s="707">
        <f t="shared" si="14"/>
        <v>3.409891532277403E-2</v>
      </c>
      <c r="J40" s="709">
        <f>SUM(J33:J38)</f>
        <v>0.70907900596633444</v>
      </c>
    </row>
    <row r="41" spans="1:18" hidden="1" x14ac:dyDescent="0.25"/>
    <row r="42" spans="1:18" hidden="1" x14ac:dyDescent="0.25">
      <c r="A42" s="710" t="s">
        <v>572</v>
      </c>
      <c r="B42" s="711" t="s">
        <v>573</v>
      </c>
      <c r="C42" s="712">
        <v>9.1388999999999998E-2</v>
      </c>
      <c r="D42" s="713">
        <v>4.9695000000000003E-2</v>
      </c>
      <c r="E42" s="712">
        <v>5.9193000000000003E-2</v>
      </c>
      <c r="F42" s="712">
        <v>4.2444000000000003E-2</v>
      </c>
      <c r="G42" s="712">
        <v>3.2189000000000002E-2</v>
      </c>
      <c r="H42" s="712">
        <v>4.8649999999999999E-2</v>
      </c>
      <c r="I42" s="714">
        <v>2.6440000000000002E-2</v>
      </c>
      <c r="J42" s="715">
        <f t="shared" ref="J42:J43" si="15">SUM(C42:I42)</f>
        <v>0.35</v>
      </c>
    </row>
    <row r="43" spans="1:18" hidden="1" x14ac:dyDescent="0.25">
      <c r="A43" s="716" t="s">
        <v>574</v>
      </c>
      <c r="B43" s="717" t="s">
        <v>573</v>
      </c>
      <c r="C43" s="718">
        <v>1.0444999999999999E-2</v>
      </c>
      <c r="D43" s="718">
        <v>5.679E-3</v>
      </c>
      <c r="E43" s="718">
        <v>6.7650000000000002E-3</v>
      </c>
      <c r="F43" s="718">
        <v>4.8510000000000003E-3</v>
      </c>
      <c r="G43" s="718">
        <v>3.679E-3</v>
      </c>
      <c r="H43" s="718">
        <v>5.5599999999999998E-3</v>
      </c>
      <c r="I43" s="719">
        <v>3.0219999999999999E-3</v>
      </c>
      <c r="J43" s="720">
        <f t="shared" si="15"/>
        <v>4.0001000000000002E-2</v>
      </c>
    </row>
    <row r="44" spans="1:18" hidden="1" x14ac:dyDescent="0.25"/>
    <row r="45" spans="1:18" hidden="1" x14ac:dyDescent="0.25">
      <c r="C45" s="707">
        <f>SUM(C42:C44)</f>
        <v>0.10183399999999999</v>
      </c>
      <c r="D45" s="707">
        <f t="shared" ref="D45:I45" si="16">SUM(D42:D44)</f>
        <v>5.5374000000000007E-2</v>
      </c>
      <c r="E45" s="707">
        <f t="shared" si="16"/>
        <v>6.5958000000000003E-2</v>
      </c>
      <c r="F45" s="707">
        <f t="shared" si="16"/>
        <v>4.7295000000000004E-2</v>
      </c>
      <c r="G45" s="707">
        <f t="shared" si="16"/>
        <v>3.5868000000000004E-2</v>
      </c>
      <c r="H45" s="707">
        <f t="shared" si="16"/>
        <v>5.4210000000000001E-2</v>
      </c>
      <c r="I45" s="707">
        <f t="shared" si="16"/>
        <v>2.9462000000000002E-2</v>
      </c>
      <c r="J45" s="709">
        <f>SUM(J42:J44)</f>
        <v>0.39000099999999999</v>
      </c>
    </row>
    <row r="46" spans="1:18" hidden="1" x14ac:dyDescent="0.25"/>
    <row r="47" spans="1:18" hidden="1" x14ac:dyDescent="0.25"/>
    <row r="51" spans="23:23" x14ac:dyDescent="0.25">
      <c r="W51">
        <f>1.099*0.02</f>
        <v>2.198E-2</v>
      </c>
    </row>
  </sheetData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fitToPage="1"/>
  </sheetPr>
  <dimension ref="A1:U323"/>
  <sheetViews>
    <sheetView zoomScale="85" zoomScaleNormal="85" workbookViewId="0">
      <pane ySplit="3" topLeftCell="A181" activePane="bottomLeft" state="frozen"/>
      <selection activeCell="A2" sqref="A2"/>
      <selection pane="bottomLeft" activeCell="D222" sqref="D222:J223"/>
    </sheetView>
  </sheetViews>
  <sheetFormatPr defaultColWidth="9.140625" defaultRowHeight="12.75" x14ac:dyDescent="0.2"/>
  <cols>
    <col min="1" max="1" width="9.140625" style="191"/>
    <col min="2" max="2" width="23.42578125" style="188" bestFit="1" customWidth="1"/>
    <col min="3" max="3" width="56.7109375" style="189" customWidth="1"/>
    <col min="4" max="11" width="9.140625" style="189"/>
    <col min="12" max="12" width="20.85546875" style="190" bestFit="1" customWidth="1"/>
    <col min="13" max="13" width="48.7109375" style="190" bestFit="1" customWidth="1"/>
    <col min="14" max="21" width="9.140625" style="190"/>
    <col min="22" max="22" width="0" style="190" hidden="1" customWidth="1"/>
    <col min="23" max="16384" width="9.140625" style="190"/>
  </cols>
  <sheetData>
    <row r="1" spans="1:12" ht="13.5" thickBot="1" x14ac:dyDescent="0.25">
      <c r="A1" s="187" t="s">
        <v>479</v>
      </c>
    </row>
    <row r="2" spans="1:12" ht="13.5" thickBot="1" x14ac:dyDescent="0.25">
      <c r="B2" s="192"/>
      <c r="C2" s="193"/>
      <c r="D2" s="194"/>
      <c r="E2" s="195"/>
      <c r="F2" s="194"/>
      <c r="G2" s="195"/>
      <c r="H2" s="194"/>
      <c r="I2" s="195"/>
      <c r="J2" s="194"/>
      <c r="K2" s="194"/>
    </row>
    <row r="3" spans="1:12" ht="13.5" thickBot="1" x14ac:dyDescent="0.25">
      <c r="A3" s="196" t="s">
        <v>190</v>
      </c>
      <c r="B3" s="197" t="s">
        <v>182</v>
      </c>
      <c r="C3" s="198" t="s">
        <v>191</v>
      </c>
      <c r="D3" s="199" t="s">
        <v>165</v>
      </c>
      <c r="E3" s="199" t="s">
        <v>0</v>
      </c>
      <c r="F3" s="199" t="s">
        <v>166</v>
      </c>
      <c r="G3" s="199" t="s">
        <v>167</v>
      </c>
      <c r="H3" s="199" t="s">
        <v>168</v>
      </c>
      <c r="I3" s="199" t="s">
        <v>169</v>
      </c>
      <c r="J3" s="199" t="s">
        <v>170</v>
      </c>
      <c r="K3" s="199" t="s">
        <v>6</v>
      </c>
    </row>
    <row r="4" spans="1:12" x14ac:dyDescent="0.2">
      <c r="A4" s="200">
        <v>1</v>
      </c>
      <c r="B4" s="201" t="s">
        <v>2</v>
      </c>
      <c r="C4" s="202" t="s">
        <v>192</v>
      </c>
      <c r="D4" s="203">
        <v>0.35155999999999998</v>
      </c>
      <c r="E4" s="203">
        <v>0.10353999999999999</v>
      </c>
      <c r="F4" s="203">
        <v>0.14455000000000001</v>
      </c>
      <c r="G4" s="203">
        <v>0.26071</v>
      </c>
      <c r="H4" s="203">
        <v>3.771E-2</v>
      </c>
      <c r="I4" s="203">
        <v>0.10193000000000001</v>
      </c>
      <c r="J4" s="203">
        <v>0</v>
      </c>
      <c r="K4" s="204">
        <f t="shared" ref="K4:K67" si="0">SUM(D4:J4)</f>
        <v>1</v>
      </c>
      <c r="L4" s="205">
        <f t="shared" ref="L4:L65" si="1">SUM(D4:J4)</f>
        <v>1</v>
      </c>
    </row>
    <row r="5" spans="1:12" x14ac:dyDescent="0.2">
      <c r="A5" s="200">
        <v>2</v>
      </c>
      <c r="B5" s="206" t="s">
        <v>2</v>
      </c>
      <c r="C5" s="202" t="s">
        <v>56</v>
      </c>
      <c r="D5" s="203">
        <v>0.19213065162044235</v>
      </c>
      <c r="E5" s="203">
        <v>0.21155474475708369</v>
      </c>
      <c r="F5" s="203">
        <v>7.4271550112448972E-2</v>
      </c>
      <c r="G5" s="203">
        <v>0.29995337823513352</v>
      </c>
      <c r="H5" s="203">
        <v>0.186696558614494</v>
      </c>
      <c r="I5" s="203">
        <v>3.5393116660397468E-2</v>
      </c>
      <c r="J5" s="203">
        <v>0</v>
      </c>
      <c r="K5" s="204">
        <f t="shared" si="0"/>
        <v>0.99999999999999989</v>
      </c>
      <c r="L5" s="205">
        <f t="shared" si="1"/>
        <v>0.99999999999999989</v>
      </c>
    </row>
    <row r="6" spans="1:12" ht="25.5" customHeight="1" x14ac:dyDescent="0.2">
      <c r="A6" s="200">
        <v>3</v>
      </c>
      <c r="B6" s="206" t="s">
        <v>2</v>
      </c>
      <c r="C6" s="202" t="s">
        <v>193</v>
      </c>
      <c r="D6" s="207">
        <v>0.27021404725074866</v>
      </c>
      <c r="E6" s="207">
        <v>0.15841033776948113</v>
      </c>
      <c r="F6" s="207">
        <v>0.1746353732884886</v>
      </c>
      <c r="G6" s="207">
        <v>0.28921319812865792</v>
      </c>
      <c r="H6" s="207">
        <v>9.8381127668259211E-2</v>
      </c>
      <c r="I6" s="207">
        <v>9.1459158943642642E-3</v>
      </c>
      <c r="J6" s="207">
        <v>0</v>
      </c>
      <c r="K6" s="204">
        <f t="shared" si="0"/>
        <v>0.99999999999999989</v>
      </c>
      <c r="L6" s="205">
        <f t="shared" si="1"/>
        <v>0.99999999999999989</v>
      </c>
    </row>
    <row r="7" spans="1:12" x14ac:dyDescent="0.2">
      <c r="A7" s="200">
        <v>4</v>
      </c>
      <c r="B7" s="206" t="s">
        <v>2</v>
      </c>
      <c r="C7" s="202" t="s">
        <v>194</v>
      </c>
      <c r="D7" s="207">
        <v>0.27021404725074866</v>
      </c>
      <c r="E7" s="207">
        <v>0.15841033776948113</v>
      </c>
      <c r="F7" s="207">
        <v>0.1746353732884886</v>
      </c>
      <c r="G7" s="207">
        <v>0.28921319812865792</v>
      </c>
      <c r="H7" s="207">
        <v>9.8381127668259211E-2</v>
      </c>
      <c r="I7" s="207">
        <v>9.1459158943642642E-3</v>
      </c>
      <c r="J7" s="207">
        <v>0</v>
      </c>
      <c r="K7" s="204">
        <f t="shared" si="0"/>
        <v>0.99999999999999989</v>
      </c>
      <c r="L7" s="205">
        <f t="shared" si="1"/>
        <v>0.99999999999999989</v>
      </c>
    </row>
    <row r="8" spans="1:12" x14ac:dyDescent="0.2">
      <c r="A8" s="200">
        <v>5</v>
      </c>
      <c r="B8" s="206" t="s">
        <v>2</v>
      </c>
      <c r="C8" s="202" t="s">
        <v>195</v>
      </c>
      <c r="D8" s="203">
        <v>0.52881175781233736</v>
      </c>
      <c r="E8" s="203">
        <v>1.2143199217272067E-2</v>
      </c>
      <c r="F8" s="203">
        <v>0.16232207282916614</v>
      </c>
      <c r="G8" s="203">
        <v>0.26567496921846434</v>
      </c>
      <c r="H8" s="203">
        <v>2.5597314462564289E-3</v>
      </c>
      <c r="I8" s="203">
        <v>2.8488269476503857E-2</v>
      </c>
      <c r="J8" s="203">
        <v>0</v>
      </c>
      <c r="K8" s="204">
        <f t="shared" si="0"/>
        <v>1.0000000000000002</v>
      </c>
      <c r="L8" s="205">
        <f t="shared" si="1"/>
        <v>1.0000000000000002</v>
      </c>
    </row>
    <row r="9" spans="1:12" x14ac:dyDescent="0.2">
      <c r="A9" s="200">
        <v>6</v>
      </c>
      <c r="B9" s="206" t="s">
        <v>2</v>
      </c>
      <c r="C9" s="202" t="s">
        <v>59</v>
      </c>
      <c r="D9" s="203">
        <v>0</v>
      </c>
      <c r="E9" s="203">
        <v>0</v>
      </c>
      <c r="F9" s="203">
        <v>0</v>
      </c>
      <c r="G9" s="203">
        <v>1</v>
      </c>
      <c r="H9" s="203">
        <v>0</v>
      </c>
      <c r="I9" s="203">
        <v>0</v>
      </c>
      <c r="J9" s="203">
        <v>0</v>
      </c>
      <c r="K9" s="204">
        <f t="shared" si="0"/>
        <v>1</v>
      </c>
      <c r="L9" s="205">
        <f t="shared" si="1"/>
        <v>1</v>
      </c>
    </row>
    <row r="10" spans="1:12" x14ac:dyDescent="0.2">
      <c r="A10" s="200">
        <v>7</v>
      </c>
      <c r="B10" s="206" t="s">
        <v>2</v>
      </c>
      <c r="C10" s="202" t="s">
        <v>196</v>
      </c>
      <c r="D10" s="208">
        <v>0</v>
      </c>
      <c r="E10" s="208">
        <v>0</v>
      </c>
      <c r="F10" s="208">
        <v>1</v>
      </c>
      <c r="G10" s="208">
        <v>0</v>
      </c>
      <c r="H10" s="208">
        <v>0</v>
      </c>
      <c r="I10" s="208">
        <v>0</v>
      </c>
      <c r="J10" s="208">
        <v>0</v>
      </c>
      <c r="K10" s="204">
        <f t="shared" si="0"/>
        <v>1</v>
      </c>
      <c r="L10" s="205">
        <f t="shared" si="1"/>
        <v>1</v>
      </c>
    </row>
    <row r="11" spans="1:12" x14ac:dyDescent="0.2">
      <c r="A11" s="200">
        <v>8</v>
      </c>
      <c r="B11" s="206" t="s">
        <v>2</v>
      </c>
      <c r="C11" s="202" t="s">
        <v>197</v>
      </c>
      <c r="D11" s="203">
        <v>0.71177421447828348</v>
      </c>
      <c r="E11" s="203">
        <v>1.0098848349845499E-2</v>
      </c>
      <c r="F11" s="203">
        <v>8.8951046514890289E-2</v>
      </c>
      <c r="G11" s="203">
        <v>0.17252452283866093</v>
      </c>
      <c r="H11" s="203">
        <v>5.2044321773152434E-3</v>
      </c>
      <c r="I11" s="203">
        <v>1.1098320055508759E-2</v>
      </c>
      <c r="J11" s="203">
        <v>3.4861558549555697E-4</v>
      </c>
      <c r="K11" s="204">
        <f t="shared" si="0"/>
        <v>0.99999999999999989</v>
      </c>
      <c r="L11" s="205">
        <f t="shared" si="1"/>
        <v>0.99999999999999989</v>
      </c>
    </row>
    <row r="12" spans="1:12" x14ac:dyDescent="0.2">
      <c r="A12" s="200">
        <v>9</v>
      </c>
      <c r="B12" s="206" t="s">
        <v>2</v>
      </c>
      <c r="C12" s="202" t="s">
        <v>158</v>
      </c>
      <c r="D12" s="203">
        <v>0</v>
      </c>
      <c r="E12" s="203">
        <v>0</v>
      </c>
      <c r="F12" s="203">
        <v>1</v>
      </c>
      <c r="G12" s="203">
        <v>0</v>
      </c>
      <c r="H12" s="203">
        <v>0</v>
      </c>
      <c r="I12" s="203">
        <v>0</v>
      </c>
      <c r="J12" s="203">
        <v>0</v>
      </c>
      <c r="K12" s="204">
        <f t="shared" si="0"/>
        <v>1</v>
      </c>
      <c r="L12" s="205">
        <f t="shared" si="1"/>
        <v>1</v>
      </c>
    </row>
    <row r="13" spans="1:12" x14ac:dyDescent="0.2">
      <c r="A13" s="200">
        <v>10</v>
      </c>
      <c r="B13" s="206" t="s">
        <v>2</v>
      </c>
      <c r="C13" s="209" t="s">
        <v>55</v>
      </c>
      <c r="D13" s="203">
        <v>0</v>
      </c>
      <c r="E13" s="203">
        <v>0.65641816854873358</v>
      </c>
      <c r="F13" s="203">
        <v>0</v>
      </c>
      <c r="G13" s="203">
        <v>0</v>
      </c>
      <c r="H13" s="203">
        <v>0.34358183145126636</v>
      </c>
      <c r="I13" s="203">
        <v>0</v>
      </c>
      <c r="J13" s="203">
        <v>0</v>
      </c>
      <c r="K13" s="204">
        <f t="shared" si="0"/>
        <v>1</v>
      </c>
      <c r="L13" s="205">
        <f t="shared" si="1"/>
        <v>1</v>
      </c>
    </row>
    <row r="14" spans="1:12" x14ac:dyDescent="0.2">
      <c r="A14" s="200">
        <v>11</v>
      </c>
      <c r="B14" s="206" t="s">
        <v>2</v>
      </c>
      <c r="C14" s="209" t="s">
        <v>198</v>
      </c>
      <c r="D14" s="210">
        <v>0.20459924531112836</v>
      </c>
      <c r="E14" s="210">
        <v>0.22434215911349825</v>
      </c>
      <c r="F14" s="210">
        <v>0.12698486941058826</v>
      </c>
      <c r="G14" s="210">
        <v>0.2497818348909131</v>
      </c>
      <c r="H14" s="210">
        <v>0.16549712844912001</v>
      </c>
      <c r="I14" s="210">
        <v>2.8794762824752029E-2</v>
      </c>
      <c r="J14" s="210">
        <v>0</v>
      </c>
      <c r="K14" s="204">
        <f t="shared" si="0"/>
        <v>1</v>
      </c>
      <c r="L14" s="205">
        <f t="shared" si="1"/>
        <v>1</v>
      </c>
    </row>
    <row r="15" spans="1:12" x14ac:dyDescent="0.2">
      <c r="A15" s="200">
        <v>12</v>
      </c>
      <c r="B15" s="206" t="s">
        <v>2</v>
      </c>
      <c r="C15" s="209" t="s">
        <v>57</v>
      </c>
      <c r="D15" s="203">
        <v>0.26445482209769244</v>
      </c>
      <c r="E15" s="203">
        <v>3.0144181964347674E-2</v>
      </c>
      <c r="F15" s="203">
        <v>0.2061356437246446</v>
      </c>
      <c r="G15" s="203">
        <v>0.47033527919302365</v>
      </c>
      <c r="H15" s="203">
        <v>5.3018297829877286E-3</v>
      </c>
      <c r="I15" s="203">
        <v>2.3628243237303993E-2</v>
      </c>
      <c r="J15" s="203">
        <v>0</v>
      </c>
      <c r="K15" s="204">
        <f t="shared" si="0"/>
        <v>1.0000000000000002</v>
      </c>
      <c r="L15" s="205">
        <f t="shared" si="1"/>
        <v>1.0000000000000002</v>
      </c>
    </row>
    <row r="16" spans="1:12" ht="16.5" customHeight="1" x14ac:dyDescent="0.2">
      <c r="A16" s="200">
        <v>13</v>
      </c>
      <c r="B16" s="206" t="s">
        <v>2</v>
      </c>
      <c r="C16" s="209" t="s">
        <v>199</v>
      </c>
      <c r="D16" s="207">
        <v>0</v>
      </c>
      <c r="E16" s="207">
        <v>1</v>
      </c>
      <c r="F16" s="207">
        <v>0</v>
      </c>
      <c r="G16" s="207">
        <v>0</v>
      </c>
      <c r="H16" s="207">
        <v>0</v>
      </c>
      <c r="I16" s="207">
        <v>0</v>
      </c>
      <c r="J16" s="207">
        <v>0</v>
      </c>
      <c r="K16" s="204">
        <f t="shared" si="0"/>
        <v>1</v>
      </c>
      <c r="L16" s="205">
        <f t="shared" si="1"/>
        <v>1</v>
      </c>
    </row>
    <row r="17" spans="1:18" ht="26.25" customHeight="1" x14ac:dyDescent="0.2">
      <c r="A17" s="200">
        <v>14</v>
      </c>
      <c r="B17" s="206" t="s">
        <v>2</v>
      </c>
      <c r="C17" s="209" t="s">
        <v>200</v>
      </c>
      <c r="D17" s="203">
        <v>0.26445482209769244</v>
      </c>
      <c r="E17" s="203">
        <v>3.0144181964347674E-2</v>
      </c>
      <c r="F17" s="203">
        <v>0.2061356437246446</v>
      </c>
      <c r="G17" s="203">
        <v>0.47033527919302365</v>
      </c>
      <c r="H17" s="203">
        <v>5.3018297829877286E-3</v>
      </c>
      <c r="I17" s="203">
        <v>2.3628243237303993E-2</v>
      </c>
      <c r="J17" s="203">
        <v>0</v>
      </c>
      <c r="K17" s="204">
        <f t="shared" si="0"/>
        <v>1.0000000000000002</v>
      </c>
      <c r="L17" s="205">
        <f t="shared" si="1"/>
        <v>1.0000000000000002</v>
      </c>
    </row>
    <row r="18" spans="1:18" x14ac:dyDescent="0.2">
      <c r="A18" s="200">
        <v>15</v>
      </c>
      <c r="B18" s="206" t="s">
        <v>2</v>
      </c>
      <c r="C18" s="209" t="s">
        <v>58</v>
      </c>
      <c r="D18" s="203">
        <v>0.3888888888888889</v>
      </c>
      <c r="E18" s="203">
        <v>0</v>
      </c>
      <c r="F18" s="203">
        <v>0.16666666666666666</v>
      </c>
      <c r="G18" s="203">
        <v>0.44444444444444442</v>
      </c>
      <c r="H18" s="203">
        <v>0</v>
      </c>
      <c r="I18" s="203">
        <v>0</v>
      </c>
      <c r="J18" s="203">
        <v>0</v>
      </c>
      <c r="K18" s="204">
        <f t="shared" si="0"/>
        <v>1</v>
      </c>
      <c r="L18" s="205">
        <f t="shared" si="1"/>
        <v>1</v>
      </c>
    </row>
    <row r="19" spans="1:18" x14ac:dyDescent="0.2">
      <c r="A19" s="200">
        <v>16</v>
      </c>
      <c r="B19" s="206" t="s">
        <v>2</v>
      </c>
      <c r="C19" s="202" t="s">
        <v>74</v>
      </c>
      <c r="D19" s="203">
        <v>0.26893343162860756</v>
      </c>
      <c r="E19" s="203">
        <v>0.12786303650120284</v>
      </c>
      <c r="F19" s="203">
        <v>0.15461932459772235</v>
      </c>
      <c r="G19" s="203">
        <v>0.34579290935611678</v>
      </c>
      <c r="H19" s="203">
        <v>8.4065868043835326E-2</v>
      </c>
      <c r="I19" s="203">
        <v>1.8725429872515267E-2</v>
      </c>
      <c r="J19" s="203">
        <v>0</v>
      </c>
      <c r="K19" s="204">
        <f t="shared" si="0"/>
        <v>1</v>
      </c>
      <c r="L19" s="205">
        <f t="shared" si="1"/>
        <v>1</v>
      </c>
    </row>
    <row r="20" spans="1:18" x14ac:dyDescent="0.2">
      <c r="A20" s="200">
        <v>17</v>
      </c>
      <c r="B20" s="206" t="s">
        <v>2</v>
      </c>
      <c r="C20" s="202" t="s">
        <v>64</v>
      </c>
      <c r="D20" s="203">
        <v>0.45013609066490501</v>
      </c>
      <c r="E20" s="203">
        <v>4.1780187068844052E-2</v>
      </c>
      <c r="F20" s="203">
        <v>0.15583411983927242</v>
      </c>
      <c r="G20" s="203">
        <v>0.33122121273945809</v>
      </c>
      <c r="H20" s="203">
        <v>1.2187814173128348E-2</v>
      </c>
      <c r="I20" s="203">
        <v>8.7526079564603908E-3</v>
      </c>
      <c r="J20" s="203">
        <v>8.796755793157554E-5</v>
      </c>
      <c r="K20" s="204">
        <f t="shared" si="0"/>
        <v>0.99999999999999978</v>
      </c>
      <c r="L20" s="205">
        <f t="shared" si="1"/>
        <v>0.99999999999999978</v>
      </c>
    </row>
    <row r="21" spans="1:18" x14ac:dyDescent="0.2">
      <c r="A21" s="200">
        <v>18</v>
      </c>
      <c r="B21" s="206" t="s">
        <v>2</v>
      </c>
      <c r="C21" s="202" t="s">
        <v>61</v>
      </c>
      <c r="D21" s="203">
        <v>0.13047</v>
      </c>
      <c r="E21" s="203">
        <v>0.16324</v>
      </c>
      <c r="F21" s="203">
        <v>0.19187000000000001</v>
      </c>
      <c r="G21" s="203">
        <v>0.51441999999999999</v>
      </c>
      <c r="H21" s="203">
        <v>0</v>
      </c>
      <c r="I21" s="203">
        <v>0</v>
      </c>
      <c r="J21" s="203">
        <v>0</v>
      </c>
      <c r="K21" s="204">
        <f t="shared" si="0"/>
        <v>1</v>
      </c>
      <c r="L21" s="205">
        <f t="shared" si="1"/>
        <v>1</v>
      </c>
    </row>
    <row r="22" spans="1:18" x14ac:dyDescent="0.2">
      <c r="A22" s="200">
        <v>19</v>
      </c>
      <c r="B22" s="206" t="s">
        <v>2</v>
      </c>
      <c r="C22" s="202" t="s">
        <v>73</v>
      </c>
      <c r="D22" s="211">
        <v>0.20255713766247774</v>
      </c>
      <c r="E22" s="211">
        <v>8.5253868137417962E-2</v>
      </c>
      <c r="F22" s="211">
        <v>0.17857599697038154</v>
      </c>
      <c r="G22" s="211">
        <v>0.48191655567718417</v>
      </c>
      <c r="H22" s="211">
        <v>0</v>
      </c>
      <c r="I22" s="211">
        <v>5.1696441552538677E-2</v>
      </c>
      <c r="J22" s="211">
        <v>0</v>
      </c>
      <c r="K22" s="204">
        <f t="shared" si="0"/>
        <v>1</v>
      </c>
      <c r="L22" s="205">
        <f t="shared" si="1"/>
        <v>1</v>
      </c>
    </row>
    <row r="23" spans="1:18" x14ac:dyDescent="0.2">
      <c r="A23" s="200">
        <v>20</v>
      </c>
      <c r="B23" s="206" t="s">
        <v>2</v>
      </c>
      <c r="C23" s="202" t="s">
        <v>63</v>
      </c>
      <c r="D23" s="203">
        <v>0.31508467167200516</v>
      </c>
      <c r="E23" s="203">
        <v>5.3298234961140861E-2</v>
      </c>
      <c r="F23" s="203">
        <v>0.19876140982604443</v>
      </c>
      <c r="G23" s="203">
        <v>0.41228420803192156</v>
      </c>
      <c r="H23" s="203">
        <v>1.1591824913099061E-3</v>
      </c>
      <c r="I23" s="203">
        <v>1.9412293017578134E-2</v>
      </c>
      <c r="J23" s="203">
        <v>0</v>
      </c>
      <c r="K23" s="204">
        <f t="shared" si="0"/>
        <v>1</v>
      </c>
      <c r="L23" s="205">
        <f t="shared" si="1"/>
        <v>1</v>
      </c>
    </row>
    <row r="24" spans="1:18" x14ac:dyDescent="0.2">
      <c r="A24" s="200">
        <v>21</v>
      </c>
      <c r="B24" s="206" t="s">
        <v>2</v>
      </c>
      <c r="C24" s="202" t="s">
        <v>201</v>
      </c>
      <c r="D24" s="203">
        <v>0.15576822749791902</v>
      </c>
      <c r="E24" s="203">
        <v>0.16906416146583764</v>
      </c>
      <c r="F24" s="203">
        <v>9.5232131090665958E-2</v>
      </c>
      <c r="G24" s="203">
        <v>0.18773277512612091</v>
      </c>
      <c r="H24" s="203">
        <v>0.12450694069566186</v>
      </c>
      <c r="I24" s="203">
        <v>4.3267531680718938E-2</v>
      </c>
      <c r="J24" s="203">
        <v>0.22442823244307569</v>
      </c>
      <c r="K24" s="204">
        <f t="shared" si="0"/>
        <v>1</v>
      </c>
      <c r="L24" s="205">
        <f t="shared" si="1"/>
        <v>1</v>
      </c>
    </row>
    <row r="25" spans="1:18" ht="24" customHeight="1" x14ac:dyDescent="0.2">
      <c r="A25" s="200">
        <v>22</v>
      </c>
      <c r="B25" s="206" t="s">
        <v>2</v>
      </c>
      <c r="C25" s="202" t="s">
        <v>65</v>
      </c>
      <c r="D25" s="203">
        <v>0.62242945070454858</v>
      </c>
      <c r="E25" s="203">
        <v>0.12423633696099207</v>
      </c>
      <c r="F25" s="203">
        <v>2.8735220003580954E-2</v>
      </c>
      <c r="G25" s="203">
        <v>0.13708547833540599</v>
      </c>
      <c r="H25" s="203">
        <v>2.4741928100294732E-3</v>
      </c>
      <c r="I25" s="203">
        <v>8.5039321185442995E-2</v>
      </c>
      <c r="J25" s="203">
        <v>0</v>
      </c>
      <c r="K25" s="204">
        <f t="shared" si="0"/>
        <v>1</v>
      </c>
      <c r="L25" s="205">
        <f t="shared" si="1"/>
        <v>1</v>
      </c>
    </row>
    <row r="26" spans="1:18" x14ac:dyDescent="0.2">
      <c r="A26" s="200">
        <v>23</v>
      </c>
      <c r="B26" s="206" t="s">
        <v>2</v>
      </c>
      <c r="C26" s="202" t="s">
        <v>202</v>
      </c>
      <c r="D26" s="207">
        <v>0.30810691893081066</v>
      </c>
      <c r="E26" s="207">
        <v>2.8379716202837968E-2</v>
      </c>
      <c r="F26" s="207">
        <v>0.14864851351486486</v>
      </c>
      <c r="G26" s="207">
        <v>0.4662153378466215</v>
      </c>
      <c r="H26" s="207">
        <v>0</v>
      </c>
      <c r="I26" s="207">
        <v>4.8649513504864954E-2</v>
      </c>
      <c r="J26" s="207">
        <v>0</v>
      </c>
      <c r="K26" s="204">
        <f t="shared" si="0"/>
        <v>0.99999999999999989</v>
      </c>
      <c r="L26" s="205">
        <f t="shared" si="1"/>
        <v>0.99999999999999989</v>
      </c>
    </row>
    <row r="27" spans="1:18" x14ac:dyDescent="0.2">
      <c r="A27" s="200">
        <v>24</v>
      </c>
      <c r="B27" s="206" t="s">
        <v>2</v>
      </c>
      <c r="C27" s="202" t="s">
        <v>66</v>
      </c>
      <c r="D27" s="203">
        <v>0.23891094404795357</v>
      </c>
      <c r="E27" s="203">
        <v>0.22919409052623718</v>
      </c>
      <c r="F27" s="203">
        <v>0.15297988655170797</v>
      </c>
      <c r="G27" s="203">
        <v>0.2431607270447346</v>
      </c>
      <c r="H27" s="203">
        <v>0.12008690508452</v>
      </c>
      <c r="I27" s="203">
        <v>1.4645723830511596E-2</v>
      </c>
      <c r="J27" s="203">
        <v>1.0217229143349661E-3</v>
      </c>
      <c r="K27" s="204">
        <f t="shared" si="0"/>
        <v>0.99999999999999978</v>
      </c>
      <c r="L27" s="205">
        <f t="shared" si="1"/>
        <v>0.99999999999999978</v>
      </c>
    </row>
    <row r="28" spans="1:18" ht="31.5" customHeight="1" x14ac:dyDescent="0.2">
      <c r="A28" s="200">
        <v>25</v>
      </c>
      <c r="B28" s="206" t="s">
        <v>2</v>
      </c>
      <c r="C28" s="202" t="s">
        <v>157</v>
      </c>
      <c r="D28" s="203">
        <v>0.44756930911466758</v>
      </c>
      <c r="E28" s="203">
        <v>2.1190188723309893E-2</v>
      </c>
      <c r="F28" s="203">
        <v>0.25188426536285935</v>
      </c>
      <c r="G28" s="203">
        <v>0.25858149316886425</v>
      </c>
      <c r="H28" s="203">
        <v>9.6113007201844847E-3</v>
      </c>
      <c r="I28" s="203">
        <v>1.1108633291474442E-2</v>
      </c>
      <c r="J28" s="203">
        <v>5.4809618640014416E-5</v>
      </c>
      <c r="K28" s="204">
        <f t="shared" si="0"/>
        <v>1</v>
      </c>
      <c r="L28" s="205">
        <f t="shared" si="1"/>
        <v>1</v>
      </c>
      <c r="R28" s="212"/>
    </row>
    <row r="29" spans="1:18" ht="31.5" customHeight="1" x14ac:dyDescent="0.2">
      <c r="A29" s="200">
        <v>26</v>
      </c>
      <c r="B29" s="206" t="s">
        <v>2</v>
      </c>
      <c r="C29" s="202" t="s">
        <v>203</v>
      </c>
      <c r="D29" s="488">
        <v>0.61390107499812874</v>
      </c>
      <c r="E29" s="488">
        <v>7.4212160377208999E-2</v>
      </c>
      <c r="F29" s="488">
        <v>0.10329801322843116</v>
      </c>
      <c r="G29" s="488">
        <v>0.14499280202244577</v>
      </c>
      <c r="H29" s="488">
        <v>5.6461987917381634E-2</v>
      </c>
      <c r="I29" s="488">
        <v>7.1339614564037424E-3</v>
      </c>
      <c r="J29" s="488">
        <v>0</v>
      </c>
      <c r="K29" s="489">
        <f t="shared" si="0"/>
        <v>1</v>
      </c>
      <c r="L29" s="205">
        <f t="shared" si="1"/>
        <v>1</v>
      </c>
      <c r="R29" s="213"/>
    </row>
    <row r="30" spans="1:18" x14ac:dyDescent="0.2">
      <c r="A30" s="200">
        <v>27</v>
      </c>
      <c r="B30" s="206" t="s">
        <v>2</v>
      </c>
      <c r="C30" s="202" t="s">
        <v>204</v>
      </c>
      <c r="D30" s="203">
        <v>0.18315816841831581</v>
      </c>
      <c r="E30" s="203">
        <v>0.25534744652553476</v>
      </c>
      <c r="F30" s="203">
        <v>0.11363886361136388</v>
      </c>
      <c r="G30" s="203">
        <v>0.27673723262767369</v>
      </c>
      <c r="H30" s="203">
        <v>0.16777832221677785</v>
      </c>
      <c r="I30" s="203">
        <v>3.3399666003339967E-3</v>
      </c>
      <c r="J30" s="203">
        <v>0</v>
      </c>
      <c r="K30" s="204">
        <f t="shared" si="0"/>
        <v>1</v>
      </c>
      <c r="L30" s="205">
        <f t="shared" si="1"/>
        <v>1</v>
      </c>
      <c r="R30" s="213"/>
    </row>
    <row r="31" spans="1:18" x14ac:dyDescent="0.2">
      <c r="A31" s="200">
        <v>28</v>
      </c>
      <c r="B31" s="206" t="s">
        <v>2</v>
      </c>
      <c r="C31" s="202" t="s">
        <v>76</v>
      </c>
      <c r="D31" s="203">
        <v>0.31885425317781069</v>
      </c>
      <c r="E31" s="203">
        <v>2.1887703984468133E-2</v>
      </c>
      <c r="F31" s="203">
        <v>0.28806410862403048</v>
      </c>
      <c r="G31" s="203">
        <v>0.33469476992938019</v>
      </c>
      <c r="H31" s="203">
        <v>2.4922360707514704E-2</v>
      </c>
      <c r="I31" s="203">
        <v>1.1576803576795816E-2</v>
      </c>
      <c r="J31" s="203">
        <v>0</v>
      </c>
      <c r="K31" s="204">
        <f t="shared" si="0"/>
        <v>1</v>
      </c>
      <c r="L31" s="205">
        <f t="shared" si="1"/>
        <v>1</v>
      </c>
      <c r="R31" s="213"/>
    </row>
    <row r="32" spans="1:18" x14ac:dyDescent="0.2">
      <c r="A32" s="200">
        <v>29</v>
      </c>
      <c r="B32" s="206" t="s">
        <v>2</v>
      </c>
      <c r="C32" s="202" t="s">
        <v>173</v>
      </c>
      <c r="D32" s="203">
        <v>0.31885425317781069</v>
      </c>
      <c r="E32" s="203">
        <v>2.1887703984468133E-2</v>
      </c>
      <c r="F32" s="203">
        <v>0.28806410862403048</v>
      </c>
      <c r="G32" s="203">
        <v>0.33469476992938019</v>
      </c>
      <c r="H32" s="203">
        <v>2.4922360707514704E-2</v>
      </c>
      <c r="I32" s="203">
        <v>1.1576803576795816E-2</v>
      </c>
      <c r="J32" s="203">
        <v>0</v>
      </c>
      <c r="K32" s="204">
        <f t="shared" si="0"/>
        <v>1</v>
      </c>
      <c r="L32" s="205">
        <f t="shared" si="1"/>
        <v>1</v>
      </c>
      <c r="R32" s="214"/>
    </row>
    <row r="33" spans="1:12" x14ac:dyDescent="0.2">
      <c r="A33" s="200">
        <v>30</v>
      </c>
      <c r="B33" s="206" t="s">
        <v>2</v>
      </c>
      <c r="C33" s="202" t="s">
        <v>205</v>
      </c>
      <c r="D33" s="203">
        <v>0.2946329463294633</v>
      </c>
      <c r="E33" s="203">
        <v>0.19136191361913618</v>
      </c>
      <c r="F33" s="203">
        <v>0.12732127321273212</v>
      </c>
      <c r="G33" s="203">
        <v>0.21938219382193822</v>
      </c>
      <c r="H33" s="203">
        <v>0.12531125311253113</v>
      </c>
      <c r="I33" s="203">
        <v>2.4700247002470026E-2</v>
      </c>
      <c r="J33" s="203">
        <v>1.7290172901729017E-2</v>
      </c>
      <c r="K33" s="204">
        <f t="shared" si="0"/>
        <v>1</v>
      </c>
      <c r="L33" s="205">
        <f t="shared" si="1"/>
        <v>1</v>
      </c>
    </row>
    <row r="34" spans="1:12" x14ac:dyDescent="0.2">
      <c r="A34" s="200">
        <v>31</v>
      </c>
      <c r="B34" s="206" t="s">
        <v>2</v>
      </c>
      <c r="C34" s="202" t="s">
        <v>206</v>
      </c>
      <c r="D34" s="211">
        <v>0.41971830985915493</v>
      </c>
      <c r="E34" s="211">
        <v>1.4084507042253521E-2</v>
      </c>
      <c r="F34" s="211">
        <v>0.11549295774647887</v>
      </c>
      <c r="G34" s="211">
        <v>0.30985915492957744</v>
      </c>
      <c r="H34" s="211">
        <v>9.014084507042254E-2</v>
      </c>
      <c r="I34" s="211">
        <v>5.0704225352112678E-2</v>
      </c>
      <c r="J34" s="211">
        <v>0</v>
      </c>
      <c r="K34" s="204">
        <f t="shared" si="0"/>
        <v>1</v>
      </c>
      <c r="L34" s="205">
        <f t="shared" si="1"/>
        <v>1</v>
      </c>
    </row>
    <row r="35" spans="1:12" x14ac:dyDescent="0.2">
      <c r="A35" s="200">
        <v>32</v>
      </c>
      <c r="B35" s="206" t="s">
        <v>2</v>
      </c>
      <c r="C35" s="209" t="s">
        <v>207</v>
      </c>
      <c r="D35" s="203">
        <v>0.2009879901200988</v>
      </c>
      <c r="E35" s="203">
        <v>0.21809781902180977</v>
      </c>
      <c r="F35" s="203">
        <v>0.12341876581234189</v>
      </c>
      <c r="G35" s="203">
        <v>0.24203757962420377</v>
      </c>
      <c r="H35" s="203">
        <v>0.16012839871601284</v>
      </c>
      <c r="I35" s="203">
        <v>5.5329446705532942E-2</v>
      </c>
      <c r="J35" s="203">
        <v>0</v>
      </c>
      <c r="K35" s="204">
        <f t="shared" si="0"/>
        <v>1</v>
      </c>
      <c r="L35" s="205">
        <f t="shared" si="1"/>
        <v>1</v>
      </c>
    </row>
    <row r="36" spans="1:12" x14ac:dyDescent="0.2">
      <c r="A36" s="200">
        <v>33</v>
      </c>
      <c r="B36" s="206" t="s">
        <v>2</v>
      </c>
      <c r="C36" s="202" t="s">
        <v>208</v>
      </c>
      <c r="D36" s="207">
        <v>0.20294520655559845</v>
      </c>
      <c r="E36" s="207">
        <v>0.21789575179423906</v>
      </c>
      <c r="F36" s="207">
        <v>0.12212981699133454</v>
      </c>
      <c r="G36" s="207">
        <v>0.24119047008691896</v>
      </c>
      <c r="H36" s="207">
        <v>0.16030933930489616</v>
      </c>
      <c r="I36" s="207">
        <v>5.5529415267012702E-2</v>
      </c>
      <c r="J36" s="207">
        <v>0</v>
      </c>
      <c r="K36" s="204">
        <f t="shared" si="0"/>
        <v>0.99999999999999978</v>
      </c>
      <c r="L36" s="205">
        <f t="shared" si="1"/>
        <v>0.99999999999999978</v>
      </c>
    </row>
    <row r="37" spans="1:12" x14ac:dyDescent="0.2">
      <c r="A37" s="200">
        <v>34</v>
      </c>
      <c r="B37" s="206" t="s">
        <v>2</v>
      </c>
      <c r="C37" s="202" t="s">
        <v>209</v>
      </c>
      <c r="D37" s="203">
        <v>0.1549771712727793</v>
      </c>
      <c r="E37" s="203">
        <v>0.14396192165534169</v>
      </c>
      <c r="F37" s="203">
        <v>0.20112852685146487</v>
      </c>
      <c r="G37" s="203">
        <v>0.35822333918731897</v>
      </c>
      <c r="H37" s="203">
        <v>0.1246264098710748</v>
      </c>
      <c r="I37" s="203">
        <v>1.7082631162020395E-2</v>
      </c>
      <c r="J37" s="203">
        <v>0</v>
      </c>
      <c r="K37" s="204">
        <f t="shared" si="0"/>
        <v>1</v>
      </c>
      <c r="L37" s="205">
        <f t="shared" si="1"/>
        <v>1</v>
      </c>
    </row>
    <row r="38" spans="1:12" x14ac:dyDescent="0.2">
      <c r="A38" s="200">
        <v>35</v>
      </c>
      <c r="B38" s="206" t="s">
        <v>2</v>
      </c>
      <c r="C38" s="202" t="s">
        <v>210</v>
      </c>
      <c r="D38" s="203">
        <v>0.20843030773209206</v>
      </c>
      <c r="E38" s="203">
        <v>0.14546159813809156</v>
      </c>
      <c r="F38" s="203">
        <v>9.7362296353762617E-2</v>
      </c>
      <c r="G38" s="203">
        <v>0.18774243599689686</v>
      </c>
      <c r="H38" s="203">
        <v>2.9092319627618313E-2</v>
      </c>
      <c r="I38" s="203">
        <v>0.10796483061805018</v>
      </c>
      <c r="J38" s="203">
        <v>0.22394621153348851</v>
      </c>
      <c r="K38" s="204">
        <f t="shared" si="0"/>
        <v>1</v>
      </c>
      <c r="L38" s="205">
        <f t="shared" si="1"/>
        <v>1</v>
      </c>
    </row>
    <row r="39" spans="1:12" ht="28.5" customHeight="1" x14ac:dyDescent="0.2">
      <c r="A39" s="200">
        <v>36</v>
      </c>
      <c r="B39" s="206" t="s">
        <v>2</v>
      </c>
      <c r="C39" s="202" t="s">
        <v>211</v>
      </c>
      <c r="D39" s="203">
        <v>0.20843030773209206</v>
      </c>
      <c r="E39" s="203">
        <v>0.14546159813809156</v>
      </c>
      <c r="F39" s="203">
        <v>9.7362296353762617E-2</v>
      </c>
      <c r="G39" s="203">
        <v>0.18774243599689686</v>
      </c>
      <c r="H39" s="203">
        <v>2.9092319627618313E-2</v>
      </c>
      <c r="I39" s="203">
        <v>0.10796483061805018</v>
      </c>
      <c r="J39" s="203">
        <v>0.22394621153348851</v>
      </c>
      <c r="K39" s="204">
        <f t="shared" si="0"/>
        <v>1</v>
      </c>
      <c r="L39" s="205">
        <f t="shared" si="1"/>
        <v>1</v>
      </c>
    </row>
    <row r="40" spans="1:12" ht="50.25" customHeight="1" x14ac:dyDescent="0.2">
      <c r="A40" s="200">
        <v>37</v>
      </c>
      <c r="B40" s="206" t="s">
        <v>2</v>
      </c>
      <c r="C40" s="202" t="s">
        <v>212</v>
      </c>
      <c r="D40" s="203">
        <v>0.15576822749791902</v>
      </c>
      <c r="E40" s="203">
        <v>0.16906416146583761</v>
      </c>
      <c r="F40" s="203">
        <v>9.5232131090665972E-2</v>
      </c>
      <c r="G40" s="203">
        <v>0.18773277512612091</v>
      </c>
      <c r="H40" s="203">
        <v>0.12450694069566186</v>
      </c>
      <c r="I40" s="203">
        <v>4.3267531680718938E-2</v>
      </c>
      <c r="J40" s="203">
        <v>0.22442823244307569</v>
      </c>
      <c r="K40" s="204">
        <f t="shared" si="0"/>
        <v>1</v>
      </c>
      <c r="L40" s="205">
        <f t="shared" si="1"/>
        <v>1</v>
      </c>
    </row>
    <row r="41" spans="1:12" ht="45.75" customHeight="1" x14ac:dyDescent="0.2">
      <c r="A41" s="200">
        <v>38</v>
      </c>
      <c r="B41" s="206" t="s">
        <v>2</v>
      </c>
      <c r="C41" s="202" t="s">
        <v>159</v>
      </c>
      <c r="D41" s="203">
        <v>0.2622136618518961</v>
      </c>
      <c r="E41" s="203">
        <v>0.28492819214282722</v>
      </c>
      <c r="F41" s="203">
        <v>0.14018158425366764</v>
      </c>
      <c r="G41" s="203">
        <v>0.20342079460300502</v>
      </c>
      <c r="H41" s="203">
        <v>8.5698958511447418E-2</v>
      </c>
      <c r="I41" s="203">
        <v>2.1950537070780516E-2</v>
      </c>
      <c r="J41" s="203">
        <v>1.606271566376067E-3</v>
      </c>
      <c r="K41" s="204">
        <f t="shared" si="0"/>
        <v>0.99999999999999989</v>
      </c>
      <c r="L41" s="205">
        <f t="shared" si="1"/>
        <v>0.99999999999999989</v>
      </c>
    </row>
    <row r="42" spans="1:12" ht="34.5" customHeight="1" x14ac:dyDescent="0.2">
      <c r="A42" s="200">
        <v>39</v>
      </c>
      <c r="B42" s="206" t="s">
        <v>2</v>
      </c>
      <c r="C42" s="202" t="s">
        <v>213</v>
      </c>
      <c r="D42" s="211">
        <v>0.35613572365806551</v>
      </c>
      <c r="E42" s="211">
        <v>7.0670800119189145E-3</v>
      </c>
      <c r="F42" s="211">
        <v>2.7878723930076767E-2</v>
      </c>
      <c r="G42" s="211">
        <v>0.57523458708144271</v>
      </c>
      <c r="H42" s="211">
        <v>3.3210888506584969E-2</v>
      </c>
      <c r="I42" s="211">
        <v>4.7299681191124038E-4</v>
      </c>
      <c r="J42" s="211">
        <v>0</v>
      </c>
      <c r="K42" s="204">
        <f t="shared" si="0"/>
        <v>1</v>
      </c>
      <c r="L42" s="205">
        <f t="shared" si="1"/>
        <v>1</v>
      </c>
    </row>
    <row r="43" spans="1:12" x14ac:dyDescent="0.2">
      <c r="A43" s="200">
        <v>40</v>
      </c>
      <c r="B43" s="206" t="s">
        <v>2</v>
      </c>
      <c r="C43" s="202" t="s">
        <v>75</v>
      </c>
      <c r="D43" s="203">
        <v>0.21781999999999999</v>
      </c>
      <c r="E43" s="203">
        <v>0.23761999999999997</v>
      </c>
      <c r="F43" s="203">
        <v>7.9209999999999989E-2</v>
      </c>
      <c r="G43" s="203">
        <v>0.26732999999999996</v>
      </c>
      <c r="H43" s="203">
        <v>0.17821999999999996</v>
      </c>
      <c r="I43" s="203">
        <v>1.9799999999999998E-2</v>
      </c>
      <c r="J43" s="203">
        <v>0</v>
      </c>
      <c r="K43" s="204">
        <f t="shared" si="0"/>
        <v>0.99999999999999989</v>
      </c>
      <c r="L43" s="205">
        <f t="shared" si="1"/>
        <v>0.99999999999999989</v>
      </c>
    </row>
    <row r="44" spans="1:12" x14ac:dyDescent="0.2">
      <c r="A44" s="200">
        <v>41</v>
      </c>
      <c r="B44" s="206" t="s">
        <v>2</v>
      </c>
      <c r="C44" s="202" t="s">
        <v>214</v>
      </c>
      <c r="D44" s="203">
        <v>0.3179841641936958</v>
      </c>
      <c r="E44" s="203">
        <v>0.25353461268152755</v>
      </c>
      <c r="F44" s="203">
        <v>0.22358081545237282</v>
      </c>
      <c r="G44" s="203">
        <v>0.13597380216305988</v>
      </c>
      <c r="H44" s="203">
        <v>6.2707974949376355E-2</v>
      </c>
      <c r="I44" s="203">
        <v>6.2186305599677052E-3</v>
      </c>
      <c r="J44" s="203">
        <v>0</v>
      </c>
      <c r="K44" s="204">
        <f t="shared" si="0"/>
        <v>1</v>
      </c>
      <c r="L44" s="205">
        <f t="shared" si="1"/>
        <v>1</v>
      </c>
    </row>
    <row r="45" spans="1:12" x14ac:dyDescent="0.2">
      <c r="A45" s="200">
        <v>42</v>
      </c>
      <c r="B45" s="206" t="s">
        <v>2</v>
      </c>
      <c r="C45" s="202" t="s">
        <v>186</v>
      </c>
      <c r="D45" s="203">
        <v>0.16997169971699722</v>
      </c>
      <c r="E45" s="203">
        <v>0.12062120621206214</v>
      </c>
      <c r="F45" s="203">
        <v>0.14940149401494016</v>
      </c>
      <c r="G45" s="203">
        <v>0.34123341233412335</v>
      </c>
      <c r="H45" s="203">
        <v>0.17945179451794518</v>
      </c>
      <c r="I45" s="203">
        <v>3.932039320393204E-2</v>
      </c>
      <c r="J45" s="203">
        <v>0</v>
      </c>
      <c r="K45" s="204">
        <f t="shared" si="0"/>
        <v>1.0000000000000002</v>
      </c>
      <c r="L45" s="205">
        <f t="shared" si="1"/>
        <v>1.0000000000000002</v>
      </c>
    </row>
    <row r="46" spans="1:12" x14ac:dyDescent="0.2">
      <c r="A46" s="200">
        <v>43</v>
      </c>
      <c r="B46" s="206" t="s">
        <v>2</v>
      </c>
      <c r="C46" s="202" t="s">
        <v>215</v>
      </c>
      <c r="D46" s="203">
        <v>0.49461719693913636</v>
      </c>
      <c r="E46" s="203">
        <v>0.11125876307478294</v>
      </c>
      <c r="F46" s="203">
        <v>8.2566801819410479E-2</v>
      </c>
      <c r="G46" s="203">
        <v>0.19488002017422762</v>
      </c>
      <c r="H46" s="203">
        <v>0.1047591918024315</v>
      </c>
      <c r="I46" s="203">
        <v>1.0111708611326996E-2</v>
      </c>
      <c r="J46" s="203">
        <v>1.8063175786841321E-3</v>
      </c>
      <c r="K46" s="204">
        <f t="shared" si="0"/>
        <v>1</v>
      </c>
      <c r="L46" s="205">
        <f t="shared" si="1"/>
        <v>1</v>
      </c>
    </row>
    <row r="47" spans="1:12" x14ac:dyDescent="0.2">
      <c r="A47" s="200">
        <v>44</v>
      </c>
      <c r="B47" s="206" t="s">
        <v>2</v>
      </c>
      <c r="C47" s="202" t="s">
        <v>72</v>
      </c>
      <c r="D47" s="203">
        <v>0.47819003971900753</v>
      </c>
      <c r="E47" s="203">
        <v>0.14999644595287809</v>
      </c>
      <c r="F47" s="203">
        <v>0.11719996186407297</v>
      </c>
      <c r="G47" s="203">
        <v>0.15822228742604894</v>
      </c>
      <c r="H47" s="203">
        <v>9.0824944950959371E-2</v>
      </c>
      <c r="I47" s="203">
        <v>5.1289690226965275E-3</v>
      </c>
      <c r="J47" s="203">
        <v>4.3735106433656922E-4</v>
      </c>
      <c r="K47" s="204">
        <f t="shared" si="0"/>
        <v>1</v>
      </c>
      <c r="L47" s="205">
        <f t="shared" si="1"/>
        <v>1</v>
      </c>
    </row>
    <row r="48" spans="1:12" x14ac:dyDescent="0.2">
      <c r="A48" s="200">
        <v>45</v>
      </c>
      <c r="B48" s="206" t="s">
        <v>2</v>
      </c>
      <c r="C48" s="202" t="s">
        <v>71</v>
      </c>
      <c r="D48" s="203">
        <v>0.31095780509838572</v>
      </c>
      <c r="E48" s="203">
        <v>0.21266871664692497</v>
      </c>
      <c r="F48" s="203">
        <v>0.12045132830310969</v>
      </c>
      <c r="G48" s="203">
        <v>0.27852617244880595</v>
      </c>
      <c r="H48" s="203">
        <v>5.9950710875265698E-2</v>
      </c>
      <c r="I48" s="203">
        <v>1.7365316428969761E-2</v>
      </c>
      <c r="J48" s="203">
        <v>7.995019853826648E-5</v>
      </c>
      <c r="K48" s="204">
        <f t="shared" si="0"/>
        <v>1</v>
      </c>
      <c r="L48" s="205">
        <f t="shared" si="1"/>
        <v>1</v>
      </c>
    </row>
    <row r="49" spans="1:12" x14ac:dyDescent="0.2">
      <c r="A49" s="200">
        <v>46</v>
      </c>
      <c r="B49" s="206" t="s">
        <v>2</v>
      </c>
      <c r="C49" s="202" t="s">
        <v>70</v>
      </c>
      <c r="D49" s="203">
        <v>0.58957194143398295</v>
      </c>
      <c r="E49" s="203">
        <v>5.5738994252142481E-2</v>
      </c>
      <c r="F49" s="203">
        <v>0.12900814406814101</v>
      </c>
      <c r="G49" s="203">
        <v>0.18789705462884548</v>
      </c>
      <c r="H49" s="203">
        <v>2.9514142809694423E-2</v>
      </c>
      <c r="I49" s="203">
        <v>5.8413823879647263E-3</v>
      </c>
      <c r="J49" s="203">
        <v>2.4283404192289811E-3</v>
      </c>
      <c r="K49" s="204">
        <f t="shared" si="0"/>
        <v>1</v>
      </c>
      <c r="L49" s="205">
        <f t="shared" si="1"/>
        <v>1</v>
      </c>
    </row>
    <row r="50" spans="1:12" x14ac:dyDescent="0.2">
      <c r="A50" s="200">
        <v>47</v>
      </c>
      <c r="B50" s="206" t="s">
        <v>2</v>
      </c>
      <c r="C50" s="202" t="s">
        <v>69</v>
      </c>
      <c r="D50" s="203">
        <v>0.57816725725686646</v>
      </c>
      <c r="E50" s="203">
        <v>4.0325684060832395E-2</v>
      </c>
      <c r="F50" s="203">
        <v>0.10257501939533369</v>
      </c>
      <c r="G50" s="203">
        <v>0.24480416372221572</v>
      </c>
      <c r="H50" s="203">
        <v>2.5222292316850768E-2</v>
      </c>
      <c r="I50" s="203">
        <v>8.9055832479010763E-3</v>
      </c>
      <c r="J50" s="203">
        <v>0</v>
      </c>
      <c r="K50" s="204">
        <f t="shared" si="0"/>
        <v>1</v>
      </c>
      <c r="L50" s="205">
        <f t="shared" si="1"/>
        <v>1</v>
      </c>
    </row>
    <row r="51" spans="1:12" x14ac:dyDescent="0.2">
      <c r="A51" s="200">
        <v>48</v>
      </c>
      <c r="B51" s="206" t="s">
        <v>2</v>
      </c>
      <c r="C51" s="202" t="s">
        <v>68</v>
      </c>
      <c r="D51" s="203">
        <v>0.76259804485682603</v>
      </c>
      <c r="E51" s="203">
        <v>3.5321725572136406E-2</v>
      </c>
      <c r="F51" s="203">
        <v>3.3618263631685533E-2</v>
      </c>
      <c r="G51" s="203">
        <v>0.1149187587404725</v>
      </c>
      <c r="H51" s="203">
        <v>2.6062523993515895E-2</v>
      </c>
      <c r="I51" s="203">
        <v>2.7480683205364131E-2</v>
      </c>
      <c r="J51" s="203">
        <v>0</v>
      </c>
      <c r="K51" s="204">
        <f t="shared" si="0"/>
        <v>1.0000000000000007</v>
      </c>
      <c r="L51" s="205">
        <f t="shared" si="1"/>
        <v>1.0000000000000007</v>
      </c>
    </row>
    <row r="52" spans="1:12" x14ac:dyDescent="0.2">
      <c r="A52" s="200">
        <v>49</v>
      </c>
      <c r="B52" s="206" t="s">
        <v>2</v>
      </c>
      <c r="C52" s="202" t="s">
        <v>67</v>
      </c>
      <c r="D52" s="203">
        <v>0.60454679845347226</v>
      </c>
      <c r="E52" s="203">
        <v>4.742416248526285E-2</v>
      </c>
      <c r="F52" s="203">
        <v>9.7317559870906248E-2</v>
      </c>
      <c r="G52" s="203">
        <v>0.20505678683781611</v>
      </c>
      <c r="H52" s="203">
        <v>3.7099296852544511E-2</v>
      </c>
      <c r="I52" s="203">
        <v>8.2399012544936492E-3</v>
      </c>
      <c r="J52" s="203">
        <v>3.154942455042713E-4</v>
      </c>
      <c r="K52" s="204">
        <f t="shared" si="0"/>
        <v>1</v>
      </c>
      <c r="L52" s="205">
        <f t="shared" si="1"/>
        <v>1</v>
      </c>
    </row>
    <row r="53" spans="1:12" x14ac:dyDescent="0.2">
      <c r="A53" s="200">
        <v>50</v>
      </c>
      <c r="B53" s="206" t="s">
        <v>2</v>
      </c>
      <c r="C53" s="202" t="s">
        <v>216</v>
      </c>
      <c r="D53" s="215">
        <v>0.59433174941701272</v>
      </c>
      <c r="E53" s="215">
        <v>3.8701747515945711E-2</v>
      </c>
      <c r="F53" s="215">
        <v>0.11841574525551953</v>
      </c>
      <c r="G53" s="215">
        <v>0.21693341318555845</v>
      </c>
      <c r="H53" s="215">
        <v>2.2494752807341974E-2</v>
      </c>
      <c r="I53" s="215">
        <v>8.8830693302861339E-3</v>
      </c>
      <c r="J53" s="215">
        <v>2.3952248833551473E-4</v>
      </c>
      <c r="K53" s="204">
        <f t="shared" si="0"/>
        <v>1</v>
      </c>
      <c r="L53" s="205">
        <f t="shared" si="1"/>
        <v>1</v>
      </c>
    </row>
    <row r="54" spans="1:12" x14ac:dyDescent="0.2">
      <c r="A54" s="200">
        <v>51</v>
      </c>
      <c r="B54" s="206" t="s">
        <v>2</v>
      </c>
      <c r="C54" s="202" t="s">
        <v>217</v>
      </c>
      <c r="D54" s="203">
        <v>0.47222000000000003</v>
      </c>
      <c r="E54" s="203">
        <v>0</v>
      </c>
      <c r="F54" s="203">
        <v>0.20832999999999999</v>
      </c>
      <c r="G54" s="203">
        <v>0.18056</v>
      </c>
      <c r="H54" s="203">
        <v>0.13889000000000001</v>
      </c>
      <c r="I54" s="203">
        <v>0</v>
      </c>
      <c r="J54" s="203">
        <v>0</v>
      </c>
      <c r="K54" s="204">
        <f t="shared" si="0"/>
        <v>1</v>
      </c>
      <c r="L54" s="205">
        <f t="shared" si="1"/>
        <v>1</v>
      </c>
    </row>
    <row r="55" spans="1:12" x14ac:dyDescent="0.2">
      <c r="A55" s="200">
        <v>52</v>
      </c>
      <c r="B55" s="206" t="s">
        <v>2</v>
      </c>
      <c r="C55" s="202" t="s">
        <v>218</v>
      </c>
      <c r="D55" s="203">
        <v>0.17660000000000001</v>
      </c>
      <c r="E55" s="203">
        <v>0.28588000000000002</v>
      </c>
      <c r="F55" s="203">
        <v>0.12978000000000001</v>
      </c>
      <c r="G55" s="203">
        <v>0.24281</v>
      </c>
      <c r="H55" s="203">
        <v>0.16264000000000001</v>
      </c>
      <c r="I55" s="203">
        <v>2.2899999999999999E-3</v>
      </c>
      <c r="J55" s="203">
        <v>0</v>
      </c>
      <c r="K55" s="204">
        <f t="shared" si="0"/>
        <v>1</v>
      </c>
      <c r="L55" s="205">
        <f t="shared" si="1"/>
        <v>1</v>
      </c>
    </row>
    <row r="56" spans="1:12" x14ac:dyDescent="0.2">
      <c r="A56" s="200">
        <v>53</v>
      </c>
      <c r="B56" s="206" t="s">
        <v>2</v>
      </c>
      <c r="C56" s="202" t="s">
        <v>219</v>
      </c>
      <c r="D56" s="203">
        <v>0.53818749354127005</v>
      </c>
      <c r="E56" s="203">
        <v>1.5973644038756645E-3</v>
      </c>
      <c r="F56" s="203">
        <v>0.12315167979037375</v>
      </c>
      <c r="G56" s="203">
        <v>0.30286213623413055</v>
      </c>
      <c r="H56" s="203">
        <v>3.3957768944190662E-2</v>
      </c>
      <c r="I56" s="203">
        <v>2.4355708615927954E-4</v>
      </c>
      <c r="J56" s="203">
        <v>0</v>
      </c>
      <c r="K56" s="204">
        <f t="shared" si="0"/>
        <v>1</v>
      </c>
      <c r="L56" s="205">
        <f t="shared" si="1"/>
        <v>1</v>
      </c>
    </row>
    <row r="57" spans="1:12" x14ac:dyDescent="0.2">
      <c r="A57" s="200">
        <v>54</v>
      </c>
      <c r="B57" s="206" t="s">
        <v>2</v>
      </c>
      <c r="C57" s="202" t="s">
        <v>220</v>
      </c>
      <c r="D57" s="211">
        <v>0.74350708269811805</v>
      </c>
      <c r="E57" s="211">
        <v>0.11769837374847199</v>
      </c>
      <c r="F57" s="211">
        <v>5.9823446920315257E-2</v>
      </c>
      <c r="G57" s="211">
        <v>2.0664192115119488E-2</v>
      </c>
      <c r="H57" s="211">
        <v>5.830690451797519E-2</v>
      </c>
      <c r="I57" s="211">
        <v>0</v>
      </c>
      <c r="J57" s="211">
        <v>0</v>
      </c>
      <c r="K57" s="204">
        <f t="shared" si="0"/>
        <v>1</v>
      </c>
      <c r="L57" s="205">
        <f t="shared" si="1"/>
        <v>1</v>
      </c>
    </row>
    <row r="58" spans="1:12" x14ac:dyDescent="0.2">
      <c r="A58" s="200">
        <v>55</v>
      </c>
      <c r="B58" s="206" t="s">
        <v>2</v>
      </c>
      <c r="C58" s="202" t="s">
        <v>221</v>
      </c>
      <c r="D58" s="203">
        <v>0.34824080339275909</v>
      </c>
      <c r="E58" s="203">
        <v>0.11037546550828473</v>
      </c>
      <c r="F58" s="203">
        <v>0.14292905152642962</v>
      </c>
      <c r="G58" s="203">
        <v>0.27107137745075766</v>
      </c>
      <c r="H58" s="203">
        <v>2.8781480518839993E-2</v>
      </c>
      <c r="I58" s="203">
        <v>9.8601821602928838E-2</v>
      </c>
      <c r="J58" s="203">
        <v>0</v>
      </c>
      <c r="K58" s="204">
        <f t="shared" si="0"/>
        <v>0.99999999999999989</v>
      </c>
      <c r="L58" s="205">
        <f t="shared" si="1"/>
        <v>0.99999999999999989</v>
      </c>
    </row>
    <row r="59" spans="1:12" x14ac:dyDescent="0.2">
      <c r="A59" s="200">
        <v>56</v>
      </c>
      <c r="B59" s="206" t="s">
        <v>2</v>
      </c>
      <c r="C59" s="202" t="s">
        <v>62</v>
      </c>
      <c r="D59" s="203">
        <v>0.51596000000000009</v>
      </c>
      <c r="E59" s="203">
        <v>3.5780000000000006E-2</v>
      </c>
      <c r="F59" s="203">
        <v>0.16199000000000002</v>
      </c>
      <c r="G59" s="203">
        <v>0.17263000000000003</v>
      </c>
      <c r="H59" s="203">
        <v>7.9790000000000014E-2</v>
      </c>
      <c r="I59" s="203">
        <v>3.3850000000000005E-2</v>
      </c>
      <c r="J59" s="203">
        <v>0</v>
      </c>
      <c r="K59" s="204">
        <f t="shared" si="0"/>
        <v>1.0000000000000002</v>
      </c>
      <c r="L59" s="205">
        <f t="shared" si="1"/>
        <v>1.0000000000000002</v>
      </c>
    </row>
    <row r="60" spans="1:12" x14ac:dyDescent="0.2">
      <c r="A60" s="200">
        <v>57</v>
      </c>
      <c r="B60" s="206" t="s">
        <v>2</v>
      </c>
      <c r="C60" s="202" t="s">
        <v>222</v>
      </c>
      <c r="D60" s="203">
        <v>0.15576822749791902</v>
      </c>
      <c r="E60" s="203">
        <v>0.16906416146583764</v>
      </c>
      <c r="F60" s="203">
        <v>9.5232131090665958E-2</v>
      </c>
      <c r="G60" s="203">
        <v>0.18773277512612091</v>
      </c>
      <c r="H60" s="203">
        <v>0.12450694069566186</v>
      </c>
      <c r="I60" s="203">
        <v>4.3267531680718938E-2</v>
      </c>
      <c r="J60" s="203">
        <v>0.22442823244307569</v>
      </c>
      <c r="K60" s="204">
        <f t="shared" si="0"/>
        <v>1</v>
      </c>
      <c r="L60" s="205">
        <f t="shared" si="1"/>
        <v>1</v>
      </c>
    </row>
    <row r="61" spans="1:12" x14ac:dyDescent="0.2">
      <c r="A61" s="200">
        <v>58</v>
      </c>
      <c r="B61" s="206" t="s">
        <v>2</v>
      </c>
      <c r="C61" s="202" t="s">
        <v>223</v>
      </c>
      <c r="D61" s="203">
        <v>0.15576822749791902</v>
      </c>
      <c r="E61" s="203">
        <v>0.16906416146583764</v>
      </c>
      <c r="F61" s="203">
        <v>9.5232131090665958E-2</v>
      </c>
      <c r="G61" s="203">
        <v>0.18773277512612091</v>
      </c>
      <c r="H61" s="203">
        <v>0.12450694069566184</v>
      </c>
      <c r="I61" s="203">
        <v>4.3267531680718938E-2</v>
      </c>
      <c r="J61" s="203">
        <v>0.22442823244307569</v>
      </c>
      <c r="K61" s="204">
        <f t="shared" si="0"/>
        <v>1</v>
      </c>
      <c r="L61" s="205">
        <f t="shared" si="1"/>
        <v>1</v>
      </c>
    </row>
    <row r="62" spans="1:12" x14ac:dyDescent="0.2">
      <c r="A62" s="200">
        <v>59</v>
      </c>
      <c r="B62" s="206" t="s">
        <v>2</v>
      </c>
      <c r="C62" s="202" t="s">
        <v>224</v>
      </c>
      <c r="D62" s="210">
        <v>0.35001386185433947</v>
      </c>
      <c r="E62" s="210">
        <v>0.16056442050612049</v>
      </c>
      <c r="F62" s="210">
        <v>0.29145252768106839</v>
      </c>
      <c r="G62" s="210">
        <v>0.10428049312826078</v>
      </c>
      <c r="H62" s="210">
        <v>6.018772692221578E-2</v>
      </c>
      <c r="I62" s="210">
        <v>2.0088438704823096E-2</v>
      </c>
      <c r="J62" s="210">
        <v>1.3412531203172234E-2</v>
      </c>
      <c r="K62" s="204">
        <f t="shared" si="0"/>
        <v>1.0000000000000002</v>
      </c>
      <c r="L62" s="205">
        <f t="shared" si="1"/>
        <v>1.0000000000000002</v>
      </c>
    </row>
    <row r="63" spans="1:12" x14ac:dyDescent="0.2">
      <c r="A63" s="200">
        <v>60</v>
      </c>
      <c r="B63" s="206" t="s">
        <v>2</v>
      </c>
      <c r="C63" s="202" t="s">
        <v>225</v>
      </c>
      <c r="D63" s="210">
        <v>0.29292013729175792</v>
      </c>
      <c r="E63" s="210">
        <v>0.16611284353945119</v>
      </c>
      <c r="F63" s="210">
        <v>0.16902127909800765</v>
      </c>
      <c r="G63" s="210">
        <v>0.27339497755287789</v>
      </c>
      <c r="H63" s="210">
        <v>8.8175019550109937E-2</v>
      </c>
      <c r="I63" s="210">
        <v>1.0375742967795554E-2</v>
      </c>
      <c r="J63" s="210">
        <v>0</v>
      </c>
      <c r="K63" s="204">
        <f t="shared" si="0"/>
        <v>1.0000000000000002</v>
      </c>
      <c r="L63" s="205">
        <f t="shared" si="1"/>
        <v>1.0000000000000002</v>
      </c>
    </row>
    <row r="64" spans="1:12" x14ac:dyDescent="0.2">
      <c r="A64" s="200">
        <v>61</v>
      </c>
      <c r="B64" s="206" t="s">
        <v>2</v>
      </c>
      <c r="C64" s="202" t="s">
        <v>226</v>
      </c>
      <c r="D64" s="211">
        <v>0.15576822749791902</v>
      </c>
      <c r="E64" s="211">
        <v>0.16906416146583764</v>
      </c>
      <c r="F64" s="211">
        <v>9.5232131090665958E-2</v>
      </c>
      <c r="G64" s="211">
        <v>0.18773277512612091</v>
      </c>
      <c r="H64" s="211">
        <v>0.12450694069566186</v>
      </c>
      <c r="I64" s="211">
        <v>4.3267531680718938E-2</v>
      </c>
      <c r="J64" s="211">
        <v>0.22442823244307569</v>
      </c>
      <c r="K64" s="204">
        <f t="shared" si="0"/>
        <v>1</v>
      </c>
      <c r="L64" s="205">
        <f t="shared" si="1"/>
        <v>1</v>
      </c>
    </row>
    <row r="65" spans="1:12" x14ac:dyDescent="0.2">
      <c r="A65" s="200">
        <v>62</v>
      </c>
      <c r="B65" s="206" t="s">
        <v>2</v>
      </c>
      <c r="C65" s="202" t="s">
        <v>227</v>
      </c>
      <c r="D65" s="211">
        <v>0.15576822749791902</v>
      </c>
      <c r="E65" s="211">
        <v>0.16906416146583764</v>
      </c>
      <c r="F65" s="211">
        <v>9.5232131090665958E-2</v>
      </c>
      <c r="G65" s="211">
        <v>0.18773277512612088</v>
      </c>
      <c r="H65" s="211">
        <v>0.12450694069566186</v>
      </c>
      <c r="I65" s="211">
        <v>4.3267531680718931E-2</v>
      </c>
      <c r="J65" s="211">
        <v>0.22442823244307569</v>
      </c>
      <c r="K65" s="204">
        <f t="shared" si="0"/>
        <v>1</v>
      </c>
      <c r="L65" s="205">
        <f t="shared" si="1"/>
        <v>1</v>
      </c>
    </row>
    <row r="66" spans="1:12" x14ac:dyDescent="0.2">
      <c r="A66" s="200">
        <v>63</v>
      </c>
      <c r="B66" s="206" t="s">
        <v>2</v>
      </c>
      <c r="C66" s="202" t="s">
        <v>228</v>
      </c>
      <c r="D66" s="203">
        <v>0.25177496450071002</v>
      </c>
      <c r="E66" s="203">
        <v>0.2730745385092298</v>
      </c>
      <c r="F66" s="203">
        <v>8.8768224635507292E-2</v>
      </c>
      <c r="G66" s="203">
        <v>0.21820563588728226</v>
      </c>
      <c r="H66" s="203">
        <v>0.13976720465590689</v>
      </c>
      <c r="I66" s="203">
        <v>2.8409431811363777E-2</v>
      </c>
      <c r="J66" s="203">
        <v>0</v>
      </c>
      <c r="K66" s="204">
        <f t="shared" si="0"/>
        <v>1</v>
      </c>
      <c r="L66" s="205"/>
    </row>
    <row r="67" spans="1:12" x14ac:dyDescent="0.2">
      <c r="A67" s="200">
        <v>64</v>
      </c>
      <c r="B67" s="206" t="s">
        <v>2</v>
      </c>
      <c r="C67" s="202" t="s">
        <v>229</v>
      </c>
      <c r="D67" s="203">
        <v>0.39967399673996745</v>
      </c>
      <c r="E67" s="203">
        <v>0.14096140961409614</v>
      </c>
      <c r="F67" s="203">
        <v>0.13101131011310113</v>
      </c>
      <c r="G67" s="203">
        <v>0.22056220562205622</v>
      </c>
      <c r="H67" s="203">
        <v>0.10116101161011611</v>
      </c>
      <c r="I67" s="203">
        <v>6.6300663006630062E-3</v>
      </c>
      <c r="J67" s="203">
        <v>0</v>
      </c>
      <c r="K67" s="204">
        <f t="shared" si="0"/>
        <v>1</v>
      </c>
      <c r="L67" s="205"/>
    </row>
    <row r="68" spans="1:12" x14ac:dyDescent="0.2">
      <c r="A68" s="200">
        <v>65</v>
      </c>
      <c r="B68" s="206" t="s">
        <v>2</v>
      </c>
      <c r="C68" s="202" t="s">
        <v>230</v>
      </c>
      <c r="D68" s="210">
        <v>0.34845096235168621</v>
      </c>
      <c r="E68" s="210">
        <v>0.10209884513427292</v>
      </c>
      <c r="F68" s="210">
        <v>0.15792213408407327</v>
      </c>
      <c r="G68" s="210">
        <v>0.2940871514628875</v>
      </c>
      <c r="H68" s="210">
        <v>6.3335732874080411E-2</v>
      </c>
      <c r="I68" s="210">
        <v>2.0077469616975999E-2</v>
      </c>
      <c r="J68" s="210">
        <v>1.4027704476023911E-2</v>
      </c>
      <c r="K68" s="204">
        <f t="shared" ref="K68:K131" si="2">SUM(D68:J68)</f>
        <v>1.0000000000000002</v>
      </c>
      <c r="L68" s="205"/>
    </row>
    <row r="69" spans="1:12" x14ac:dyDescent="0.2">
      <c r="A69" s="200">
        <v>66</v>
      </c>
      <c r="B69" s="206" t="s">
        <v>2</v>
      </c>
      <c r="C69" s="202" t="s">
        <v>231</v>
      </c>
      <c r="D69" s="203">
        <v>0.18033000000000002</v>
      </c>
      <c r="E69" s="203">
        <v>0.19672000000000003</v>
      </c>
      <c r="F69" s="203">
        <v>0.18033000000000002</v>
      </c>
      <c r="G69" s="203">
        <v>0.20492000000000005</v>
      </c>
      <c r="H69" s="203">
        <v>0.18852000000000002</v>
      </c>
      <c r="I69" s="203">
        <v>4.0980000000000009E-2</v>
      </c>
      <c r="J69" s="203">
        <v>8.2000000000000024E-3</v>
      </c>
      <c r="K69" s="204">
        <f t="shared" si="2"/>
        <v>1.0000000000000002</v>
      </c>
      <c r="L69" s="205"/>
    </row>
    <row r="70" spans="1:12" x14ac:dyDescent="0.2">
      <c r="A70" s="200">
        <v>67</v>
      </c>
      <c r="B70" s="206" t="s">
        <v>2</v>
      </c>
      <c r="C70" s="209" t="s">
        <v>120</v>
      </c>
      <c r="D70" s="203">
        <v>0.17778177781777812</v>
      </c>
      <c r="E70" s="203">
        <v>0.24444244442444418</v>
      </c>
      <c r="F70" s="203">
        <v>0.14444144441444415</v>
      </c>
      <c r="G70" s="203">
        <v>0.21111211112111117</v>
      </c>
      <c r="H70" s="203">
        <v>0.21111211112111117</v>
      </c>
      <c r="I70" s="203">
        <v>1.1110111101111011E-2</v>
      </c>
      <c r="J70" s="203">
        <v>0</v>
      </c>
      <c r="K70" s="204">
        <f t="shared" si="2"/>
        <v>0.99999999999999989</v>
      </c>
      <c r="L70" s="205"/>
    </row>
    <row r="71" spans="1:12" x14ac:dyDescent="0.2">
      <c r="A71" s="200">
        <v>68</v>
      </c>
      <c r="B71" s="206" t="s">
        <v>2</v>
      </c>
      <c r="C71" s="209" t="s">
        <v>232</v>
      </c>
      <c r="D71" s="210">
        <v>0.19383259911894274</v>
      </c>
      <c r="E71" s="210">
        <v>0.12542109354755118</v>
      </c>
      <c r="F71" s="210">
        <v>0.24358642135268202</v>
      </c>
      <c r="G71" s="210">
        <v>0.21572946359160405</v>
      </c>
      <c r="H71" s="210">
        <v>0.16377299818605856</v>
      </c>
      <c r="I71" s="210">
        <v>5.7657424203161438E-2</v>
      </c>
      <c r="J71" s="210">
        <v>0</v>
      </c>
      <c r="K71" s="204">
        <f t="shared" si="2"/>
        <v>1</v>
      </c>
      <c r="L71" s="205"/>
    </row>
    <row r="72" spans="1:12" x14ac:dyDescent="0.2">
      <c r="A72" s="200">
        <v>69</v>
      </c>
      <c r="B72" s="206" t="s">
        <v>2</v>
      </c>
      <c r="C72" s="209" t="s">
        <v>60</v>
      </c>
      <c r="D72" s="211">
        <v>0.20459924531112836</v>
      </c>
      <c r="E72" s="211">
        <v>0.22434215911349825</v>
      </c>
      <c r="F72" s="211">
        <v>0.12698486941058826</v>
      </c>
      <c r="G72" s="211">
        <v>0.2497818348909131</v>
      </c>
      <c r="H72" s="211">
        <v>0.16549712844912001</v>
      </c>
      <c r="I72" s="211">
        <v>2.8794762824752029E-2</v>
      </c>
      <c r="J72" s="211">
        <v>0</v>
      </c>
      <c r="K72" s="204">
        <f t="shared" si="2"/>
        <v>1</v>
      </c>
    </row>
    <row r="73" spans="1:12" x14ac:dyDescent="0.2">
      <c r="A73" s="200">
        <v>70</v>
      </c>
      <c r="B73" s="206" t="s">
        <v>2</v>
      </c>
      <c r="C73" s="202" t="s">
        <v>233</v>
      </c>
      <c r="D73" s="203">
        <v>0.4576271186440678</v>
      </c>
      <c r="E73" s="203">
        <v>0.13559322033898305</v>
      </c>
      <c r="F73" s="203">
        <v>0.11864406779661017</v>
      </c>
      <c r="G73" s="203">
        <v>0.20338983050847459</v>
      </c>
      <c r="H73" s="203">
        <v>6.7796610169491525E-2</v>
      </c>
      <c r="I73" s="203">
        <v>1.6949152542372881E-2</v>
      </c>
      <c r="J73" s="203">
        <v>0</v>
      </c>
      <c r="K73" s="204">
        <f t="shared" si="2"/>
        <v>1</v>
      </c>
    </row>
    <row r="74" spans="1:12" x14ac:dyDescent="0.2">
      <c r="A74" s="200">
        <v>71</v>
      </c>
      <c r="B74" s="206" t="s">
        <v>2</v>
      </c>
      <c r="C74" s="202" t="s">
        <v>172</v>
      </c>
      <c r="D74" s="216">
        <v>0.14979999999999999</v>
      </c>
      <c r="E74" s="216">
        <v>0.16600000000000001</v>
      </c>
      <c r="F74" s="216">
        <v>9.7199999999999995E-2</v>
      </c>
      <c r="G74" s="216">
        <v>0.18759999999999999</v>
      </c>
      <c r="H74" s="216">
        <v>0.12690000000000001</v>
      </c>
      <c r="I74" s="216">
        <v>4.4499999999999998E-2</v>
      </c>
      <c r="J74" s="216">
        <v>0.22800000000000001</v>
      </c>
      <c r="K74" s="204">
        <f t="shared" si="2"/>
        <v>1</v>
      </c>
    </row>
    <row r="75" spans="1:12" x14ac:dyDescent="0.2">
      <c r="A75" s="200">
        <v>72</v>
      </c>
      <c r="B75" s="206" t="s">
        <v>2</v>
      </c>
      <c r="C75" s="202" t="s">
        <v>234</v>
      </c>
      <c r="D75" s="210">
        <v>0.20459924531112836</v>
      </c>
      <c r="E75" s="210">
        <v>0.22434215911349825</v>
      </c>
      <c r="F75" s="210">
        <v>0.12698486941058826</v>
      </c>
      <c r="G75" s="210">
        <v>0.2497818348909131</v>
      </c>
      <c r="H75" s="210">
        <v>0.16549712844912001</v>
      </c>
      <c r="I75" s="210">
        <v>2.8794762824752029E-2</v>
      </c>
      <c r="J75" s="210">
        <v>0</v>
      </c>
      <c r="K75" s="204">
        <f t="shared" si="2"/>
        <v>1</v>
      </c>
    </row>
    <row r="76" spans="1:12" ht="13.5" thickBot="1" x14ac:dyDescent="0.25">
      <c r="A76" s="200">
        <v>73</v>
      </c>
      <c r="B76" s="206" t="s">
        <v>2</v>
      </c>
      <c r="C76" s="202" t="s">
        <v>235</v>
      </c>
      <c r="D76" s="210">
        <v>0.20459924531112836</v>
      </c>
      <c r="E76" s="210">
        <v>0.22434215911349825</v>
      </c>
      <c r="F76" s="210">
        <v>0.12698486941058826</v>
      </c>
      <c r="G76" s="210">
        <v>0.2497818348909131</v>
      </c>
      <c r="H76" s="210">
        <v>0.16549712844912001</v>
      </c>
      <c r="I76" s="210">
        <v>2.8794762824752029E-2</v>
      </c>
      <c r="J76" s="210">
        <v>0</v>
      </c>
      <c r="K76" s="204">
        <f t="shared" si="2"/>
        <v>1</v>
      </c>
    </row>
    <row r="77" spans="1:12" x14ac:dyDescent="0.2">
      <c r="A77" s="200">
        <v>74</v>
      </c>
      <c r="B77" s="206" t="s">
        <v>236</v>
      </c>
      <c r="C77" s="202" t="s">
        <v>17</v>
      </c>
      <c r="D77" s="217">
        <v>3.7366668332807457E-3</v>
      </c>
      <c r="E77" s="218">
        <v>0.77507095593934872</v>
      </c>
      <c r="F77" s="217">
        <v>3.4626477392368975E-3</v>
      </c>
      <c r="G77" s="218">
        <v>1.0553857446644766E-3</v>
      </c>
      <c r="H77" s="217">
        <v>0.20070194327647928</v>
      </c>
      <c r="I77" s="218">
        <v>1.431601919059944E-2</v>
      </c>
      <c r="J77" s="217">
        <v>1.6563812763905209E-3</v>
      </c>
      <c r="K77" s="204">
        <f t="shared" si="2"/>
        <v>1</v>
      </c>
    </row>
    <row r="78" spans="1:12" x14ac:dyDescent="0.2">
      <c r="A78" s="200">
        <v>75</v>
      </c>
      <c r="B78" s="206" t="s">
        <v>236</v>
      </c>
      <c r="C78" s="202" t="s">
        <v>237</v>
      </c>
      <c r="D78" s="219">
        <v>0</v>
      </c>
      <c r="E78" s="220">
        <v>0</v>
      </c>
      <c r="F78" s="219">
        <v>0</v>
      </c>
      <c r="G78" s="220">
        <v>0</v>
      </c>
      <c r="H78" s="219">
        <v>1</v>
      </c>
      <c r="I78" s="220">
        <v>0</v>
      </c>
      <c r="J78" s="219">
        <v>0</v>
      </c>
      <c r="K78" s="204">
        <f t="shared" si="2"/>
        <v>1</v>
      </c>
    </row>
    <row r="79" spans="1:12" x14ac:dyDescent="0.2">
      <c r="A79" s="200">
        <v>76</v>
      </c>
      <c r="B79" s="206" t="s">
        <v>236</v>
      </c>
      <c r="C79" s="202" t="s">
        <v>57</v>
      </c>
      <c r="D79" s="219">
        <v>2.6283248772981046E-2</v>
      </c>
      <c r="E79" s="220">
        <v>0.51103107083390054</v>
      </c>
      <c r="F79" s="219">
        <v>3.4131054024020406E-3</v>
      </c>
      <c r="G79" s="220">
        <v>2.941715445067143E-3</v>
      </c>
      <c r="H79" s="219">
        <v>0.41623978031039266</v>
      </c>
      <c r="I79" s="220">
        <v>3.4602289610256895E-2</v>
      </c>
      <c r="J79" s="219">
        <v>5.4887896249996319E-3</v>
      </c>
      <c r="K79" s="204">
        <f t="shared" si="2"/>
        <v>1</v>
      </c>
    </row>
    <row r="80" spans="1:12" x14ac:dyDescent="0.2">
      <c r="A80" s="200">
        <v>77</v>
      </c>
      <c r="B80" s="206" t="s">
        <v>236</v>
      </c>
      <c r="C80" s="202" t="s">
        <v>51</v>
      </c>
      <c r="D80" s="219">
        <v>8.0028320202418703E-3</v>
      </c>
      <c r="E80" s="220">
        <v>0.50294144731419532</v>
      </c>
      <c r="F80" s="219">
        <v>5.9447619880108526E-3</v>
      </c>
      <c r="G80" s="220">
        <v>2.6449773887939829E-3</v>
      </c>
      <c r="H80" s="219">
        <v>0.43807143556225803</v>
      </c>
      <c r="I80" s="220">
        <v>3.2633462364707849E-2</v>
      </c>
      <c r="J80" s="219">
        <v>9.7610833617921278E-3</v>
      </c>
      <c r="K80" s="204">
        <f t="shared" si="2"/>
        <v>1</v>
      </c>
    </row>
    <row r="81" spans="1:11" x14ac:dyDescent="0.2">
      <c r="A81" s="200">
        <v>78</v>
      </c>
      <c r="B81" s="206" t="s">
        <v>236</v>
      </c>
      <c r="C81" s="202" t="s">
        <v>238</v>
      </c>
      <c r="D81" s="219">
        <v>8.0028320202418703E-3</v>
      </c>
      <c r="E81" s="220">
        <v>0.50294144731419532</v>
      </c>
      <c r="F81" s="219">
        <v>5.9447619880108526E-3</v>
      </c>
      <c r="G81" s="220">
        <v>2.6449773887939829E-3</v>
      </c>
      <c r="H81" s="219">
        <v>0.43807143556225803</v>
      </c>
      <c r="I81" s="220">
        <v>3.2633462364707849E-2</v>
      </c>
      <c r="J81" s="219">
        <v>9.7610833617921278E-3</v>
      </c>
      <c r="K81" s="204">
        <f t="shared" si="2"/>
        <v>1</v>
      </c>
    </row>
    <row r="82" spans="1:11" x14ac:dyDescent="0.2">
      <c r="A82" s="200">
        <v>79</v>
      </c>
      <c r="B82" s="206" t="s">
        <v>236</v>
      </c>
      <c r="C82" s="202" t="s">
        <v>239</v>
      </c>
      <c r="D82" s="219">
        <v>8.0028320202418703E-3</v>
      </c>
      <c r="E82" s="220">
        <v>0.50294144731419532</v>
      </c>
      <c r="F82" s="219">
        <v>5.9447619880108526E-3</v>
      </c>
      <c r="G82" s="220">
        <v>2.6449773887939829E-3</v>
      </c>
      <c r="H82" s="219">
        <v>0.43807143556225803</v>
      </c>
      <c r="I82" s="220">
        <v>3.2633462364707849E-2</v>
      </c>
      <c r="J82" s="219">
        <v>9.7610833617921278E-3</v>
      </c>
      <c r="K82" s="204">
        <f t="shared" si="2"/>
        <v>1</v>
      </c>
    </row>
    <row r="83" spans="1:11" x14ac:dyDescent="0.2">
      <c r="A83" s="200">
        <v>80</v>
      </c>
      <c r="B83" s="206" t="s">
        <v>236</v>
      </c>
      <c r="C83" s="202" t="s">
        <v>27</v>
      </c>
      <c r="D83" s="221">
        <v>1.2135922330097087E-2</v>
      </c>
      <c r="E83" s="222">
        <v>0.67233009708737856</v>
      </c>
      <c r="F83" s="221">
        <v>4.8543689320388345E-3</v>
      </c>
      <c r="G83" s="222">
        <v>2.4271844660194173E-3</v>
      </c>
      <c r="H83" s="221">
        <v>0.28640776699029125</v>
      </c>
      <c r="I83" s="222">
        <v>1.9417475728155338E-2</v>
      </c>
      <c r="J83" s="221">
        <v>2.4271844660194173E-3</v>
      </c>
      <c r="K83" s="204">
        <f t="shared" si="2"/>
        <v>0.99999999999999989</v>
      </c>
    </row>
    <row r="84" spans="1:11" x14ac:dyDescent="0.2">
      <c r="A84" s="200">
        <v>81</v>
      </c>
      <c r="B84" s="206" t="s">
        <v>236</v>
      </c>
      <c r="C84" s="202" t="s">
        <v>46</v>
      </c>
      <c r="D84" s="221">
        <v>7.3965750848648953E-2</v>
      </c>
      <c r="E84" s="222">
        <v>0.43297983025123465</v>
      </c>
      <c r="F84" s="221">
        <v>9.8404420643872531E-2</v>
      </c>
      <c r="G84" s="222">
        <v>0.14959513781282277</v>
      </c>
      <c r="H84" s="221">
        <v>0.21572805246753751</v>
      </c>
      <c r="I84" s="222">
        <v>2.7887164681669831E-2</v>
      </c>
      <c r="J84" s="221">
        <v>1.439643294213794E-3</v>
      </c>
      <c r="K84" s="204">
        <f t="shared" si="2"/>
        <v>1.0000000000000002</v>
      </c>
    </row>
    <row r="85" spans="1:11" x14ac:dyDescent="0.2">
      <c r="A85" s="200">
        <v>82</v>
      </c>
      <c r="B85" s="206" t="s">
        <v>236</v>
      </c>
      <c r="C85" s="202" t="s">
        <v>240</v>
      </c>
      <c r="D85" s="221">
        <v>0.19402985074626863</v>
      </c>
      <c r="E85" s="222">
        <v>0.25373134328358204</v>
      </c>
      <c r="F85" s="221">
        <v>0.16417910447761194</v>
      </c>
      <c r="G85" s="222">
        <v>0.20895522388059701</v>
      </c>
      <c r="H85" s="221">
        <v>0.14925373134328357</v>
      </c>
      <c r="I85" s="222">
        <v>2.9850746268656712E-2</v>
      </c>
      <c r="J85" s="221">
        <v>0</v>
      </c>
      <c r="K85" s="204">
        <f t="shared" si="2"/>
        <v>0.99999999999999989</v>
      </c>
    </row>
    <row r="86" spans="1:11" x14ac:dyDescent="0.2">
      <c r="A86" s="200">
        <v>83</v>
      </c>
      <c r="B86" s="206" t="s">
        <v>236</v>
      </c>
      <c r="C86" s="202" t="s">
        <v>44</v>
      </c>
      <c r="D86" s="221">
        <v>0.16452686638135994</v>
      </c>
      <c r="E86" s="222">
        <v>0.35140275796481213</v>
      </c>
      <c r="F86" s="221">
        <v>8.7018544935805978E-2</v>
      </c>
      <c r="G86" s="222">
        <v>0.15977175463623394</v>
      </c>
      <c r="H86" s="221">
        <v>0.19828815977175462</v>
      </c>
      <c r="I86" s="222">
        <v>2.5677603423680456E-2</v>
      </c>
      <c r="J86" s="221">
        <v>1.3314312886352828E-2</v>
      </c>
      <c r="K86" s="204">
        <f t="shared" si="2"/>
        <v>0.99999999999999989</v>
      </c>
    </row>
    <row r="87" spans="1:11" x14ac:dyDescent="0.2">
      <c r="A87" s="200">
        <v>84</v>
      </c>
      <c r="B87" s="206" t="s">
        <v>236</v>
      </c>
      <c r="C87" s="202" t="s">
        <v>48</v>
      </c>
      <c r="D87" s="221">
        <v>4.4555288250160103E-4</v>
      </c>
      <c r="E87" s="222">
        <v>0.68016641275879675</v>
      </c>
      <c r="F87" s="221">
        <v>0</v>
      </c>
      <c r="G87" s="222">
        <v>4.9982623539008028E-5</v>
      </c>
      <c r="H87" s="221">
        <v>0.30406554262933433</v>
      </c>
      <c r="I87" s="222">
        <v>1.5222526482289101E-2</v>
      </c>
      <c r="J87" s="221">
        <v>4.9982623539008028E-5</v>
      </c>
      <c r="K87" s="204">
        <f t="shared" si="2"/>
        <v>0.99999999999999978</v>
      </c>
    </row>
    <row r="88" spans="1:11" x14ac:dyDescent="0.2">
      <c r="A88" s="200">
        <v>85</v>
      </c>
      <c r="B88" s="206" t="s">
        <v>236</v>
      </c>
      <c r="C88" s="202" t="s">
        <v>241</v>
      </c>
      <c r="D88" s="221">
        <v>4.4555288250160103E-4</v>
      </c>
      <c r="E88" s="222">
        <v>0.68016641275879675</v>
      </c>
      <c r="F88" s="221">
        <v>0</v>
      </c>
      <c r="G88" s="222">
        <v>4.9982623539008028E-5</v>
      </c>
      <c r="H88" s="221">
        <v>0.30406554262933433</v>
      </c>
      <c r="I88" s="222">
        <v>1.5222526482289101E-2</v>
      </c>
      <c r="J88" s="221">
        <v>4.9982623539008028E-5</v>
      </c>
      <c r="K88" s="204">
        <f t="shared" si="2"/>
        <v>0.99999999999999978</v>
      </c>
    </row>
    <row r="89" spans="1:11" ht="15" x14ac:dyDescent="0.25">
      <c r="A89" s="200">
        <v>86</v>
      </c>
      <c r="B89" s="206" t="s">
        <v>236</v>
      </c>
      <c r="C89" s="202" t="s">
        <v>45</v>
      </c>
      <c r="D89" s="490">
        <v>2.079269653443044E-2</v>
      </c>
      <c r="E89" s="490">
        <v>0.71792429361958521</v>
      </c>
      <c r="F89" s="490">
        <v>3.7225047511082091E-2</v>
      </c>
      <c r="G89" s="490">
        <v>1.4874024216334105E-2</v>
      </c>
      <c r="H89" s="490">
        <v>0.18692809111389236</v>
      </c>
      <c r="I89" s="490">
        <v>2.2255847004675908E-2</v>
      </c>
      <c r="J89" s="491">
        <v>0</v>
      </c>
      <c r="K89" s="489">
        <f t="shared" si="2"/>
        <v>1</v>
      </c>
    </row>
    <row r="90" spans="1:11" x14ac:dyDescent="0.2">
      <c r="A90" s="200">
        <v>87</v>
      </c>
      <c r="B90" s="206" t="s">
        <v>236</v>
      </c>
      <c r="C90" s="202" t="s">
        <v>242</v>
      </c>
      <c r="D90" s="223">
        <v>0</v>
      </c>
      <c r="E90" s="224">
        <v>0.55174825174825171</v>
      </c>
      <c r="F90" s="223">
        <v>0</v>
      </c>
      <c r="G90" s="224">
        <v>0</v>
      </c>
      <c r="H90" s="223">
        <v>0.40069930069930065</v>
      </c>
      <c r="I90" s="224">
        <v>4.7552447552447551E-2</v>
      </c>
      <c r="J90" s="223">
        <v>0</v>
      </c>
      <c r="K90" s="204">
        <f t="shared" si="2"/>
        <v>1</v>
      </c>
    </row>
    <row r="91" spans="1:11" x14ac:dyDescent="0.2">
      <c r="A91" s="200">
        <v>88</v>
      </c>
      <c r="B91" s="206" t="s">
        <v>236</v>
      </c>
      <c r="C91" s="202" t="s">
        <v>243</v>
      </c>
      <c r="D91" s="221">
        <v>0</v>
      </c>
      <c r="E91" s="222">
        <v>0.77243678799666571</v>
      </c>
      <c r="F91" s="221">
        <v>0</v>
      </c>
      <c r="G91" s="222">
        <v>0</v>
      </c>
      <c r="H91" s="221">
        <v>0.22612183939983332</v>
      </c>
      <c r="I91" s="222">
        <v>1.4413726035009725E-3</v>
      </c>
      <c r="J91" s="221">
        <v>0</v>
      </c>
      <c r="K91" s="204">
        <f t="shared" si="2"/>
        <v>1</v>
      </c>
    </row>
    <row r="92" spans="1:11" x14ac:dyDescent="0.2">
      <c r="A92" s="200">
        <v>89</v>
      </c>
      <c r="B92" s="206" t="s">
        <v>236</v>
      </c>
      <c r="C92" s="202" t="s">
        <v>244</v>
      </c>
      <c r="D92" s="223">
        <v>0</v>
      </c>
      <c r="E92" s="224">
        <v>0.76497695852534564</v>
      </c>
      <c r="F92" s="223">
        <v>0</v>
      </c>
      <c r="G92" s="224">
        <v>0</v>
      </c>
      <c r="H92" s="223">
        <v>0.2119815668202765</v>
      </c>
      <c r="I92" s="224">
        <v>2.3041474654377881E-2</v>
      </c>
      <c r="J92" s="223">
        <v>0</v>
      </c>
      <c r="K92" s="204">
        <f t="shared" si="2"/>
        <v>1</v>
      </c>
    </row>
    <row r="93" spans="1:11" x14ac:dyDescent="0.2">
      <c r="A93" s="200">
        <v>90</v>
      </c>
      <c r="B93" s="206" t="s">
        <v>236</v>
      </c>
      <c r="C93" s="202" t="s">
        <v>245</v>
      </c>
      <c r="D93" s="223">
        <v>0</v>
      </c>
      <c r="E93" s="224">
        <v>0.58333333333333337</v>
      </c>
      <c r="F93" s="223">
        <v>8.3333333333333329E-2</v>
      </c>
      <c r="G93" s="224">
        <v>0</v>
      </c>
      <c r="H93" s="223">
        <v>0.33333333333333331</v>
      </c>
      <c r="I93" s="224">
        <v>0</v>
      </c>
      <c r="J93" s="223">
        <v>0</v>
      </c>
      <c r="K93" s="204">
        <f t="shared" si="2"/>
        <v>1</v>
      </c>
    </row>
    <row r="94" spans="1:11" x14ac:dyDescent="0.2">
      <c r="A94" s="200">
        <v>91</v>
      </c>
      <c r="B94" s="206" t="s">
        <v>236</v>
      </c>
      <c r="C94" s="202" t="s">
        <v>246</v>
      </c>
      <c r="D94" s="219">
        <v>8.0028320202418703E-3</v>
      </c>
      <c r="E94" s="220">
        <v>0.50294144731419532</v>
      </c>
      <c r="F94" s="219">
        <v>5.9447619880108526E-3</v>
      </c>
      <c r="G94" s="220">
        <v>2.6449773887939829E-3</v>
      </c>
      <c r="H94" s="219">
        <v>0.43807143556225803</v>
      </c>
      <c r="I94" s="220">
        <v>3.2633462364707849E-2</v>
      </c>
      <c r="J94" s="219">
        <v>9.7610833617921278E-3</v>
      </c>
      <c r="K94" s="204">
        <f t="shared" si="2"/>
        <v>1</v>
      </c>
    </row>
    <row r="95" spans="1:11" x14ac:dyDescent="0.2">
      <c r="A95" s="200">
        <v>92</v>
      </c>
      <c r="B95" s="206" t="s">
        <v>236</v>
      </c>
      <c r="C95" s="202" t="s">
        <v>247</v>
      </c>
      <c r="D95" s="221">
        <v>0.15833972681951514</v>
      </c>
      <c r="E95" s="222">
        <v>0.36032857307509231</v>
      </c>
      <c r="F95" s="221">
        <v>0.17560213951047574</v>
      </c>
      <c r="G95" s="222">
        <v>0.18236307176761873</v>
      </c>
      <c r="H95" s="221">
        <v>4.5452739637152094E-2</v>
      </c>
      <c r="I95" s="222">
        <v>7.791374919014582E-2</v>
      </c>
      <c r="J95" s="221">
        <v>0</v>
      </c>
      <c r="K95" s="204">
        <f t="shared" si="2"/>
        <v>0.99999999999999989</v>
      </c>
    </row>
    <row r="96" spans="1:11" x14ac:dyDescent="0.2">
      <c r="A96" s="200">
        <v>93</v>
      </c>
      <c r="B96" s="206" t="s">
        <v>236</v>
      </c>
      <c r="C96" s="202" t="s">
        <v>248</v>
      </c>
      <c r="D96" s="221">
        <v>0.15364921170439022</v>
      </c>
      <c r="E96" s="222">
        <v>0.1676810636014375</v>
      </c>
      <c r="F96" s="221">
        <v>9.6708619523298456E-2</v>
      </c>
      <c r="G96" s="222">
        <v>0.18684541390895734</v>
      </c>
      <c r="H96" s="221">
        <v>0.12489235056357795</v>
      </c>
      <c r="I96" s="222">
        <v>4.392197028725521E-2</v>
      </c>
      <c r="J96" s="221">
        <v>0.22630137041108331</v>
      </c>
      <c r="K96" s="204">
        <f t="shared" si="2"/>
        <v>1</v>
      </c>
    </row>
    <row r="97" spans="1:11" x14ac:dyDescent="0.2">
      <c r="A97" s="200">
        <v>94</v>
      </c>
      <c r="B97" s="206" t="s">
        <v>236</v>
      </c>
      <c r="C97" s="202" t="s">
        <v>249</v>
      </c>
      <c r="D97" s="221">
        <v>0.1538958939540899</v>
      </c>
      <c r="E97" s="222">
        <v>0.17006142903330101</v>
      </c>
      <c r="F97" s="221">
        <v>9.6993210475266725E-2</v>
      </c>
      <c r="G97" s="222">
        <v>0.18784351762043325</v>
      </c>
      <c r="H97" s="221">
        <v>0.12350468800517296</v>
      </c>
      <c r="I97" s="222">
        <v>4.3970255415454254E-2</v>
      </c>
      <c r="J97" s="221">
        <v>0.22373100549628192</v>
      </c>
      <c r="K97" s="204">
        <f t="shared" si="2"/>
        <v>1</v>
      </c>
    </row>
    <row r="98" spans="1:11" x14ac:dyDescent="0.2">
      <c r="A98" s="200">
        <v>95</v>
      </c>
      <c r="B98" s="206" t="s">
        <v>236</v>
      </c>
      <c r="C98" s="202" t="s">
        <v>250</v>
      </c>
      <c r="D98" s="221">
        <v>0</v>
      </c>
      <c r="E98" s="222">
        <v>1</v>
      </c>
      <c r="F98" s="221">
        <v>0</v>
      </c>
      <c r="G98" s="222">
        <v>0</v>
      </c>
      <c r="H98" s="221">
        <v>0</v>
      </c>
      <c r="I98" s="222">
        <v>0</v>
      </c>
      <c r="J98" s="221">
        <v>0</v>
      </c>
      <c r="K98" s="204">
        <f t="shared" si="2"/>
        <v>1</v>
      </c>
    </row>
    <row r="99" spans="1:11" x14ac:dyDescent="0.2">
      <c r="A99" s="200">
        <v>96</v>
      </c>
      <c r="B99" s="206" t="s">
        <v>236</v>
      </c>
      <c r="C99" s="202" t="s">
        <v>251</v>
      </c>
      <c r="D99" s="219">
        <v>0.2159286191371507</v>
      </c>
      <c r="E99" s="220">
        <v>0.28917419708565512</v>
      </c>
      <c r="F99" s="219">
        <v>4.4826457540724625E-2</v>
      </c>
      <c r="G99" s="220">
        <v>0.15269286058434206</v>
      </c>
      <c r="H99" s="219">
        <v>0.27296267300262606</v>
      </c>
      <c r="I99" s="220">
        <v>2.4415192649501469E-2</v>
      </c>
      <c r="J99" s="219">
        <v>0</v>
      </c>
      <c r="K99" s="204">
        <f t="shared" si="2"/>
        <v>1.0000000000000002</v>
      </c>
    </row>
    <row r="100" spans="1:11" x14ac:dyDescent="0.2">
      <c r="A100" s="200">
        <v>97</v>
      </c>
      <c r="B100" s="206" t="s">
        <v>236</v>
      </c>
      <c r="C100" s="202" t="s">
        <v>42</v>
      </c>
      <c r="D100" s="219">
        <v>0.2159286191371507</v>
      </c>
      <c r="E100" s="220">
        <v>0.28917419708565512</v>
      </c>
      <c r="F100" s="219">
        <v>4.4826457540724625E-2</v>
      </c>
      <c r="G100" s="220">
        <v>0.15269286058434206</v>
      </c>
      <c r="H100" s="219">
        <v>0.27296267300262606</v>
      </c>
      <c r="I100" s="220">
        <v>2.4415192649501469E-2</v>
      </c>
      <c r="J100" s="219">
        <v>0</v>
      </c>
      <c r="K100" s="204">
        <f t="shared" si="2"/>
        <v>1.0000000000000002</v>
      </c>
    </row>
    <row r="101" spans="1:11" x14ac:dyDescent="0.2">
      <c r="A101" s="200">
        <v>98</v>
      </c>
      <c r="B101" s="206" t="s">
        <v>236</v>
      </c>
      <c r="C101" s="202" t="s">
        <v>49</v>
      </c>
      <c r="D101" s="219">
        <v>0.13617886178861788</v>
      </c>
      <c r="E101" s="220">
        <v>0.27540650406504064</v>
      </c>
      <c r="F101" s="219">
        <v>0.12703252032520326</v>
      </c>
      <c r="G101" s="220">
        <v>0.25609756097560976</v>
      </c>
      <c r="H101" s="219">
        <v>0.17682926829268292</v>
      </c>
      <c r="I101" s="220">
        <v>2.8455284552845527E-2</v>
      </c>
      <c r="J101" s="219">
        <v>0</v>
      </c>
      <c r="K101" s="204">
        <f t="shared" si="2"/>
        <v>0.99999999999999989</v>
      </c>
    </row>
    <row r="102" spans="1:11" x14ac:dyDescent="0.2">
      <c r="A102" s="200">
        <v>99</v>
      </c>
      <c r="B102" s="206" t="s">
        <v>236</v>
      </c>
      <c r="C102" s="202" t="s">
        <v>252</v>
      </c>
      <c r="D102" s="225">
        <v>0.20459924531112836</v>
      </c>
      <c r="E102" s="226">
        <v>0.22434215911349825</v>
      </c>
      <c r="F102" s="225">
        <v>0.12698486941058826</v>
      </c>
      <c r="G102" s="226">
        <v>0.2497818348909131</v>
      </c>
      <c r="H102" s="225">
        <v>0.16549712844912001</v>
      </c>
      <c r="I102" s="226">
        <v>2.8794762824752029E-2</v>
      </c>
      <c r="J102" s="225">
        <v>0</v>
      </c>
      <c r="K102" s="204">
        <f t="shared" si="2"/>
        <v>1</v>
      </c>
    </row>
    <row r="103" spans="1:11" ht="13.5" thickBot="1" x14ac:dyDescent="0.25">
      <c r="A103" s="200">
        <v>100</v>
      </c>
      <c r="B103" s="206" t="s">
        <v>236</v>
      </c>
      <c r="C103" s="202" t="s">
        <v>71</v>
      </c>
      <c r="D103" s="227">
        <v>0</v>
      </c>
      <c r="E103" s="228">
        <v>1</v>
      </c>
      <c r="F103" s="227">
        <v>0</v>
      </c>
      <c r="G103" s="228">
        <v>0</v>
      </c>
      <c r="H103" s="227">
        <v>0</v>
      </c>
      <c r="I103" s="228">
        <v>0</v>
      </c>
      <c r="J103" s="227">
        <v>0</v>
      </c>
      <c r="K103" s="204">
        <f t="shared" si="2"/>
        <v>1</v>
      </c>
    </row>
    <row r="104" spans="1:11" x14ac:dyDescent="0.2">
      <c r="A104" s="200">
        <v>101</v>
      </c>
      <c r="B104" s="206" t="s">
        <v>236</v>
      </c>
      <c r="C104" s="229" t="s">
        <v>253</v>
      </c>
      <c r="D104" s="230">
        <v>0</v>
      </c>
      <c r="E104" s="230">
        <v>0</v>
      </c>
      <c r="F104" s="230">
        <v>0</v>
      </c>
      <c r="G104" s="230">
        <v>0</v>
      </c>
      <c r="H104" s="230">
        <v>0</v>
      </c>
      <c r="I104" s="230">
        <v>0</v>
      </c>
      <c r="J104" s="230">
        <v>1</v>
      </c>
      <c r="K104" s="204">
        <f t="shared" si="2"/>
        <v>1</v>
      </c>
    </row>
    <row r="105" spans="1:11" x14ac:dyDescent="0.2">
      <c r="A105" s="200">
        <v>102</v>
      </c>
      <c r="B105" s="206" t="s">
        <v>52</v>
      </c>
      <c r="C105" s="231" t="s">
        <v>205</v>
      </c>
      <c r="D105" s="219">
        <v>0</v>
      </c>
      <c r="E105" s="219">
        <v>0</v>
      </c>
      <c r="F105" s="219">
        <v>0</v>
      </c>
      <c r="G105" s="219">
        <v>0</v>
      </c>
      <c r="H105" s="219">
        <v>0</v>
      </c>
      <c r="I105" s="219">
        <v>0</v>
      </c>
      <c r="J105" s="219">
        <v>1</v>
      </c>
      <c r="K105" s="204">
        <f t="shared" si="2"/>
        <v>1</v>
      </c>
    </row>
    <row r="106" spans="1:11" x14ac:dyDescent="0.2">
      <c r="A106" s="200">
        <v>103</v>
      </c>
      <c r="B106" s="206" t="s">
        <v>52</v>
      </c>
      <c r="C106" s="231" t="s">
        <v>254</v>
      </c>
      <c r="D106" s="219">
        <v>0</v>
      </c>
      <c r="E106" s="219">
        <v>0</v>
      </c>
      <c r="F106" s="219">
        <v>0</v>
      </c>
      <c r="G106" s="219">
        <v>0</v>
      </c>
      <c r="H106" s="219">
        <v>0</v>
      </c>
      <c r="I106" s="219">
        <v>0</v>
      </c>
      <c r="J106" s="219">
        <v>1</v>
      </c>
      <c r="K106" s="204">
        <f t="shared" si="2"/>
        <v>1</v>
      </c>
    </row>
    <row r="107" spans="1:11" x14ac:dyDescent="0.2">
      <c r="A107" s="200">
        <v>104</v>
      </c>
      <c r="B107" s="206" t="s">
        <v>52</v>
      </c>
      <c r="C107" s="231" t="s">
        <v>255</v>
      </c>
      <c r="D107" s="219">
        <v>0</v>
      </c>
      <c r="E107" s="219">
        <v>0</v>
      </c>
      <c r="F107" s="219">
        <v>0</v>
      </c>
      <c r="G107" s="219">
        <v>0</v>
      </c>
      <c r="H107" s="219">
        <v>0</v>
      </c>
      <c r="I107" s="219">
        <v>0</v>
      </c>
      <c r="J107" s="219">
        <v>1</v>
      </c>
      <c r="K107" s="204">
        <f t="shared" si="2"/>
        <v>1</v>
      </c>
    </row>
    <row r="108" spans="1:11" x14ac:dyDescent="0.2">
      <c r="A108" s="200">
        <v>105</v>
      </c>
      <c r="B108" s="206" t="s">
        <v>52</v>
      </c>
      <c r="C108" s="231" t="s">
        <v>17</v>
      </c>
      <c r="D108" s="219">
        <v>0</v>
      </c>
      <c r="E108" s="219">
        <v>0</v>
      </c>
      <c r="F108" s="219">
        <v>0</v>
      </c>
      <c r="G108" s="219">
        <v>0</v>
      </c>
      <c r="H108" s="219">
        <v>0</v>
      </c>
      <c r="I108" s="219">
        <v>0</v>
      </c>
      <c r="J108" s="219">
        <v>1</v>
      </c>
      <c r="K108" s="204">
        <f t="shared" si="2"/>
        <v>1</v>
      </c>
    </row>
    <row r="109" spans="1:11" x14ac:dyDescent="0.2">
      <c r="A109" s="200">
        <v>106</v>
      </c>
      <c r="B109" s="206" t="s">
        <v>52</v>
      </c>
      <c r="C109" s="231" t="s">
        <v>256</v>
      </c>
      <c r="D109" s="219">
        <v>0</v>
      </c>
      <c r="E109" s="219">
        <v>0</v>
      </c>
      <c r="F109" s="219">
        <v>0</v>
      </c>
      <c r="G109" s="219">
        <v>0</v>
      </c>
      <c r="H109" s="219">
        <v>0</v>
      </c>
      <c r="I109" s="219">
        <v>0</v>
      </c>
      <c r="J109" s="219">
        <v>1</v>
      </c>
      <c r="K109" s="204">
        <f t="shared" si="2"/>
        <v>1</v>
      </c>
    </row>
    <row r="110" spans="1:11" x14ac:dyDescent="0.2">
      <c r="A110" s="200">
        <v>107</v>
      </c>
      <c r="B110" s="206" t="s">
        <v>52</v>
      </c>
      <c r="C110" s="231" t="s">
        <v>53</v>
      </c>
      <c r="D110" s="219">
        <v>0</v>
      </c>
      <c r="E110" s="219">
        <v>0</v>
      </c>
      <c r="F110" s="219">
        <v>0</v>
      </c>
      <c r="G110" s="219">
        <v>0</v>
      </c>
      <c r="H110" s="219">
        <v>0</v>
      </c>
      <c r="I110" s="219">
        <v>0</v>
      </c>
      <c r="J110" s="219">
        <v>1</v>
      </c>
      <c r="K110" s="204">
        <f t="shared" si="2"/>
        <v>1</v>
      </c>
    </row>
    <row r="111" spans="1:11" x14ac:dyDescent="0.2">
      <c r="A111" s="200">
        <v>108</v>
      </c>
      <c r="B111" s="206" t="s">
        <v>52</v>
      </c>
      <c r="C111" s="231" t="s">
        <v>198</v>
      </c>
      <c r="D111" s="219">
        <v>0</v>
      </c>
      <c r="E111" s="219">
        <v>0</v>
      </c>
      <c r="F111" s="219">
        <v>0</v>
      </c>
      <c r="G111" s="219">
        <v>0</v>
      </c>
      <c r="H111" s="219">
        <v>0</v>
      </c>
      <c r="I111" s="219">
        <v>0</v>
      </c>
      <c r="J111" s="219">
        <v>1</v>
      </c>
      <c r="K111" s="204">
        <f t="shared" si="2"/>
        <v>1</v>
      </c>
    </row>
    <row r="112" spans="1:11" x14ac:dyDescent="0.2">
      <c r="A112" s="200">
        <v>109</v>
      </c>
      <c r="B112" s="206" t="s">
        <v>52</v>
      </c>
      <c r="C112" s="231" t="s">
        <v>257</v>
      </c>
      <c r="D112" s="219">
        <v>0</v>
      </c>
      <c r="E112" s="219">
        <v>0</v>
      </c>
      <c r="F112" s="219">
        <v>0</v>
      </c>
      <c r="G112" s="219">
        <v>0</v>
      </c>
      <c r="H112" s="219">
        <v>0</v>
      </c>
      <c r="I112" s="219">
        <v>0</v>
      </c>
      <c r="J112" s="219">
        <v>1</v>
      </c>
      <c r="K112" s="204">
        <f t="shared" si="2"/>
        <v>1</v>
      </c>
    </row>
    <row r="113" spans="1:11" x14ac:dyDescent="0.2">
      <c r="A113" s="200">
        <v>110</v>
      </c>
      <c r="B113" s="206" t="s">
        <v>52</v>
      </c>
      <c r="C113" s="231" t="s">
        <v>210</v>
      </c>
      <c r="D113" s="219">
        <v>0</v>
      </c>
      <c r="E113" s="219">
        <v>0</v>
      </c>
      <c r="F113" s="219">
        <v>0</v>
      </c>
      <c r="G113" s="219">
        <v>0</v>
      </c>
      <c r="H113" s="219">
        <v>0</v>
      </c>
      <c r="I113" s="219">
        <v>0</v>
      </c>
      <c r="J113" s="219">
        <v>1</v>
      </c>
      <c r="K113" s="204">
        <f t="shared" si="2"/>
        <v>1</v>
      </c>
    </row>
    <row r="114" spans="1:11" x14ac:dyDescent="0.2">
      <c r="A114" s="200">
        <v>111</v>
      </c>
      <c r="B114" s="206" t="s">
        <v>52</v>
      </c>
      <c r="C114" s="231" t="s">
        <v>45</v>
      </c>
      <c r="D114" s="219">
        <v>0</v>
      </c>
      <c r="E114" s="219">
        <v>0</v>
      </c>
      <c r="F114" s="219">
        <v>0</v>
      </c>
      <c r="G114" s="219">
        <v>0</v>
      </c>
      <c r="H114" s="219">
        <v>0</v>
      </c>
      <c r="I114" s="219">
        <v>0</v>
      </c>
      <c r="J114" s="219">
        <v>1</v>
      </c>
      <c r="K114" s="204">
        <f t="shared" si="2"/>
        <v>1</v>
      </c>
    </row>
    <row r="115" spans="1:11" x14ac:dyDescent="0.2">
      <c r="A115" s="200">
        <v>112</v>
      </c>
      <c r="B115" s="206" t="s">
        <v>52</v>
      </c>
      <c r="C115" s="231" t="s">
        <v>258</v>
      </c>
      <c r="D115" s="219">
        <v>0</v>
      </c>
      <c r="E115" s="219">
        <v>0</v>
      </c>
      <c r="F115" s="219">
        <v>0</v>
      </c>
      <c r="G115" s="219">
        <v>0</v>
      </c>
      <c r="H115" s="219">
        <v>0</v>
      </c>
      <c r="I115" s="219">
        <v>0</v>
      </c>
      <c r="J115" s="219">
        <v>1</v>
      </c>
      <c r="K115" s="204">
        <f t="shared" si="2"/>
        <v>1</v>
      </c>
    </row>
    <row r="116" spans="1:11" x14ac:dyDescent="0.2">
      <c r="A116" s="200">
        <v>113</v>
      </c>
      <c r="B116" s="206" t="s">
        <v>52</v>
      </c>
      <c r="C116" s="232" t="s">
        <v>259</v>
      </c>
      <c r="D116" s="233">
        <v>0</v>
      </c>
      <c r="E116" s="233">
        <v>0</v>
      </c>
      <c r="F116" s="233">
        <v>0</v>
      </c>
      <c r="G116" s="233">
        <v>0</v>
      </c>
      <c r="H116" s="233">
        <v>0</v>
      </c>
      <c r="I116" s="233">
        <v>0</v>
      </c>
      <c r="J116" s="233">
        <v>1</v>
      </c>
      <c r="K116" s="204">
        <f t="shared" si="2"/>
        <v>1</v>
      </c>
    </row>
    <row r="117" spans="1:11" x14ac:dyDescent="0.2">
      <c r="A117" s="200">
        <v>114</v>
      </c>
      <c r="B117" s="206" t="s">
        <v>52</v>
      </c>
      <c r="C117" s="231" t="s">
        <v>260</v>
      </c>
      <c r="D117" s="219">
        <v>0</v>
      </c>
      <c r="E117" s="219">
        <v>0</v>
      </c>
      <c r="F117" s="219">
        <v>0</v>
      </c>
      <c r="G117" s="219">
        <v>0</v>
      </c>
      <c r="H117" s="219">
        <v>0</v>
      </c>
      <c r="I117" s="219">
        <v>0</v>
      </c>
      <c r="J117" s="219">
        <v>1</v>
      </c>
      <c r="K117" s="204">
        <f t="shared" si="2"/>
        <v>1</v>
      </c>
    </row>
    <row r="118" spans="1:11" x14ac:dyDescent="0.2">
      <c r="A118" s="200">
        <v>115</v>
      </c>
      <c r="B118" s="206" t="s">
        <v>52</v>
      </c>
      <c r="C118" s="231" t="s">
        <v>192</v>
      </c>
      <c r="D118" s="219">
        <v>0</v>
      </c>
      <c r="E118" s="219">
        <v>0</v>
      </c>
      <c r="F118" s="219">
        <v>0</v>
      </c>
      <c r="G118" s="219">
        <v>0</v>
      </c>
      <c r="H118" s="219">
        <v>0</v>
      </c>
      <c r="I118" s="219">
        <v>0</v>
      </c>
      <c r="J118" s="219">
        <v>1</v>
      </c>
      <c r="K118" s="204">
        <f t="shared" si="2"/>
        <v>1</v>
      </c>
    </row>
    <row r="119" spans="1:11" x14ac:dyDescent="0.2">
      <c r="A119" s="200">
        <v>116</v>
      </c>
      <c r="B119" s="206" t="s">
        <v>52</v>
      </c>
      <c r="C119" s="234" t="s">
        <v>49</v>
      </c>
      <c r="D119" s="219">
        <v>0</v>
      </c>
      <c r="E119" s="219">
        <v>0</v>
      </c>
      <c r="F119" s="219">
        <v>0</v>
      </c>
      <c r="G119" s="219">
        <v>0</v>
      </c>
      <c r="H119" s="219">
        <v>0</v>
      </c>
      <c r="I119" s="219">
        <v>0</v>
      </c>
      <c r="J119" s="219">
        <v>1</v>
      </c>
      <c r="K119" s="204">
        <f t="shared" si="2"/>
        <v>1</v>
      </c>
    </row>
    <row r="120" spans="1:11" x14ac:dyDescent="0.2">
      <c r="A120" s="200">
        <v>117</v>
      </c>
      <c r="B120" s="206" t="s">
        <v>52</v>
      </c>
      <c r="C120" s="235" t="s">
        <v>261</v>
      </c>
      <c r="D120" s="219">
        <v>0</v>
      </c>
      <c r="E120" s="219">
        <v>0</v>
      </c>
      <c r="F120" s="219">
        <v>0</v>
      </c>
      <c r="G120" s="219">
        <v>0</v>
      </c>
      <c r="H120" s="219">
        <v>0</v>
      </c>
      <c r="I120" s="219">
        <v>0</v>
      </c>
      <c r="J120" s="219">
        <v>1</v>
      </c>
      <c r="K120" s="204">
        <f t="shared" si="2"/>
        <v>1</v>
      </c>
    </row>
    <row r="121" spans="1:11" x14ac:dyDescent="0.2">
      <c r="A121" s="200">
        <v>118</v>
      </c>
      <c r="B121" s="206" t="s">
        <v>52</v>
      </c>
      <c r="C121" s="229" t="s">
        <v>262</v>
      </c>
      <c r="D121" s="219">
        <v>0</v>
      </c>
      <c r="E121" s="219">
        <v>0</v>
      </c>
      <c r="F121" s="219">
        <v>0</v>
      </c>
      <c r="G121" s="219">
        <v>0</v>
      </c>
      <c r="H121" s="219">
        <v>0</v>
      </c>
      <c r="I121" s="219">
        <v>0</v>
      </c>
      <c r="J121" s="219">
        <v>1</v>
      </c>
      <c r="K121" s="204">
        <f t="shared" si="2"/>
        <v>1</v>
      </c>
    </row>
    <row r="122" spans="1:11" x14ac:dyDescent="0.2">
      <c r="A122" s="200">
        <v>119</v>
      </c>
      <c r="B122" s="206" t="s">
        <v>3</v>
      </c>
      <c r="C122" s="236" t="s">
        <v>45</v>
      </c>
      <c r="D122" s="492">
        <v>2.3018889505801766E-2</v>
      </c>
      <c r="E122" s="492">
        <v>9.6227066080112403E-3</v>
      </c>
      <c r="F122" s="493">
        <f>93.4912820232895%-2.98%-1.47%</f>
        <v>0.89041282023289492</v>
      </c>
      <c r="G122" s="492">
        <v>7.6342576140951843E-2</v>
      </c>
      <c r="H122" s="493"/>
      <c r="I122" s="492">
        <v>6.1566359631244963E-4</v>
      </c>
      <c r="J122" s="493">
        <v>0</v>
      </c>
      <c r="K122" s="204">
        <f t="shared" ref="K122" si="3">SUM(D122:J122)</f>
        <v>1.0000126560839722</v>
      </c>
    </row>
    <row r="123" spans="1:11" x14ac:dyDescent="0.2">
      <c r="A123" s="200">
        <v>120</v>
      </c>
      <c r="B123" s="206" t="s">
        <v>3</v>
      </c>
      <c r="C123" s="236" t="s">
        <v>263</v>
      </c>
      <c r="D123" s="237">
        <v>0.12825680411060877</v>
      </c>
      <c r="E123" s="237">
        <v>0.1788042195471794</v>
      </c>
      <c r="F123" s="238">
        <v>0.12885596528496468</v>
      </c>
      <c r="G123" s="237">
        <v>0.2392196379613995</v>
      </c>
      <c r="H123" s="238">
        <v>0.12751239174246964</v>
      </c>
      <c r="I123" s="237">
        <v>1.7629863645441834E-2</v>
      </c>
      <c r="J123" s="238">
        <v>0.17972111770793617</v>
      </c>
      <c r="K123" s="204">
        <f t="shared" si="2"/>
        <v>1</v>
      </c>
    </row>
    <row r="124" spans="1:11" x14ac:dyDescent="0.2">
      <c r="A124" s="200">
        <v>121</v>
      </c>
      <c r="B124" s="206" t="s">
        <v>3</v>
      </c>
      <c r="C124" s="236" t="s">
        <v>77</v>
      </c>
      <c r="D124" s="239">
        <v>0.24504600475921079</v>
      </c>
      <c r="E124" s="239">
        <v>0</v>
      </c>
      <c r="F124" s="239">
        <v>0.2506570835096994</v>
      </c>
      <c r="G124" s="239">
        <v>0.29622758732087218</v>
      </c>
      <c r="H124" s="239">
        <v>0.15052612425576212</v>
      </c>
      <c r="I124" s="239">
        <v>5.7543200154455527E-2</v>
      </c>
      <c r="J124" s="239">
        <v>0</v>
      </c>
      <c r="K124" s="204">
        <f t="shared" si="2"/>
        <v>1</v>
      </c>
    </row>
    <row r="125" spans="1:11" x14ac:dyDescent="0.2">
      <c r="A125" s="200">
        <v>122</v>
      </c>
      <c r="B125" s="206" t="s">
        <v>3</v>
      </c>
      <c r="C125" s="236" t="s">
        <v>264</v>
      </c>
      <c r="D125" s="240">
        <v>1</v>
      </c>
      <c r="E125" s="240">
        <v>0</v>
      </c>
      <c r="F125" s="240">
        <v>0</v>
      </c>
      <c r="G125" s="240">
        <v>0</v>
      </c>
      <c r="H125" s="240">
        <v>0</v>
      </c>
      <c r="I125" s="240">
        <v>0</v>
      </c>
      <c r="J125" s="240">
        <v>0</v>
      </c>
      <c r="K125" s="204">
        <f t="shared" si="2"/>
        <v>1</v>
      </c>
    </row>
    <row r="126" spans="1:11" x14ac:dyDescent="0.2">
      <c r="A126" s="200">
        <v>123</v>
      </c>
      <c r="B126" s="206" t="s">
        <v>3</v>
      </c>
      <c r="C126" s="236" t="s">
        <v>265</v>
      </c>
      <c r="D126" s="241">
        <v>0.26923076923076922</v>
      </c>
      <c r="E126" s="241">
        <v>0.26923076923076922</v>
      </c>
      <c r="F126" s="242">
        <v>7.6923076923076927E-2</v>
      </c>
      <c r="G126" s="241">
        <v>3.8461538461538464E-2</v>
      </c>
      <c r="H126" s="242">
        <v>3.8461538461538464E-2</v>
      </c>
      <c r="I126" s="241">
        <v>1.9230769230769232E-2</v>
      </c>
      <c r="J126" s="242">
        <v>0.28846153846153844</v>
      </c>
      <c r="K126" s="204">
        <f t="shared" si="2"/>
        <v>1</v>
      </c>
    </row>
    <row r="127" spans="1:11" x14ac:dyDescent="0.2">
      <c r="A127" s="200">
        <v>124</v>
      </c>
      <c r="B127" s="206" t="s">
        <v>3</v>
      </c>
      <c r="C127" s="236" t="s">
        <v>266</v>
      </c>
      <c r="D127" s="241">
        <v>0.41636186101898792</v>
      </c>
      <c r="E127" s="241">
        <v>9.4851359440480842E-2</v>
      </c>
      <c r="F127" s="242">
        <v>0.27972025290880415</v>
      </c>
      <c r="G127" s="241">
        <v>0.11043970194198571</v>
      </c>
      <c r="H127" s="242">
        <v>7.2836364788955749E-2</v>
      </c>
      <c r="I127" s="241">
        <v>2.5790459900785493E-2</v>
      </c>
      <c r="J127" s="242">
        <v>0</v>
      </c>
      <c r="K127" s="204">
        <f t="shared" si="2"/>
        <v>0.99999999999999989</v>
      </c>
    </row>
    <row r="128" spans="1:11" x14ac:dyDescent="0.2">
      <c r="A128" s="200">
        <v>125</v>
      </c>
      <c r="B128" s="206" t="s">
        <v>3</v>
      </c>
      <c r="C128" s="243" t="s">
        <v>257</v>
      </c>
      <c r="D128" s="240"/>
      <c r="E128" s="240"/>
      <c r="F128" s="244">
        <v>1</v>
      </c>
      <c r="G128" s="240"/>
      <c r="H128" s="244"/>
      <c r="I128" s="240"/>
      <c r="J128" s="244"/>
      <c r="K128" s="204">
        <f t="shared" si="2"/>
        <v>1</v>
      </c>
    </row>
    <row r="129" spans="1:11" ht="13.5" thickBot="1" x14ac:dyDescent="0.25">
      <c r="A129" s="200">
        <v>126</v>
      </c>
      <c r="B129" s="206" t="s">
        <v>3</v>
      </c>
      <c r="C129" s="245" t="s">
        <v>267</v>
      </c>
      <c r="D129" s="246">
        <f>SUM(D122:D128)/7</f>
        <v>0.29741633266076833</v>
      </c>
      <c r="E129" s="246">
        <f t="shared" ref="E129:J129" si="4">SUM(E122:E128)/7</f>
        <v>7.8929864975205807E-2</v>
      </c>
      <c r="F129" s="246">
        <f t="shared" si="4"/>
        <v>0.37522417126563429</v>
      </c>
      <c r="G129" s="246">
        <f t="shared" si="4"/>
        <v>0.10867014883239252</v>
      </c>
      <c r="H129" s="246">
        <f t="shared" si="4"/>
        <v>5.5619488464103709E-2</v>
      </c>
      <c r="I129" s="246">
        <f t="shared" si="4"/>
        <v>1.7258565218252076E-2</v>
      </c>
      <c r="J129" s="246">
        <f t="shared" si="4"/>
        <v>6.6883236595639231E-2</v>
      </c>
      <c r="K129" s="204">
        <f t="shared" si="2"/>
        <v>1.0000018080119961</v>
      </c>
    </row>
    <row r="130" spans="1:11" x14ac:dyDescent="0.2">
      <c r="A130" s="200">
        <v>127</v>
      </c>
      <c r="B130" s="206" t="s">
        <v>268</v>
      </c>
      <c r="C130" s="247" t="s">
        <v>269</v>
      </c>
      <c r="D130" s="217">
        <v>3.8E-3</v>
      </c>
      <c r="E130" s="217">
        <v>1.9E-3</v>
      </c>
      <c r="F130" s="217">
        <v>0</v>
      </c>
      <c r="G130" s="217">
        <v>0.94950000000000001</v>
      </c>
      <c r="H130" s="217">
        <v>5.9999999999999995E-4</v>
      </c>
      <c r="I130" s="217">
        <v>4.4200000000000003E-2</v>
      </c>
      <c r="J130" s="217">
        <v>0</v>
      </c>
      <c r="K130" s="204">
        <f t="shared" si="2"/>
        <v>1</v>
      </c>
    </row>
    <row r="131" spans="1:11" x14ac:dyDescent="0.2">
      <c r="A131" s="200">
        <v>128</v>
      </c>
      <c r="B131" s="206" t="s">
        <v>268</v>
      </c>
      <c r="C131" s="248" t="s">
        <v>51</v>
      </c>
      <c r="D131" s="249">
        <v>6.3E-3</v>
      </c>
      <c r="E131" s="249">
        <v>2.0999999999999999E-3</v>
      </c>
      <c r="F131" s="249">
        <v>0</v>
      </c>
      <c r="G131" s="249">
        <v>0.96650000000000003</v>
      </c>
      <c r="H131" s="249">
        <v>0</v>
      </c>
      <c r="I131" s="249">
        <v>2.5100000000000001E-2</v>
      </c>
      <c r="J131" s="249">
        <v>0</v>
      </c>
      <c r="K131" s="204">
        <f t="shared" si="2"/>
        <v>1</v>
      </c>
    </row>
    <row r="132" spans="1:11" x14ac:dyDescent="0.2">
      <c r="A132" s="200">
        <v>129</v>
      </c>
      <c r="B132" s="206" t="s">
        <v>268</v>
      </c>
      <c r="C132" s="250" t="s">
        <v>45</v>
      </c>
      <c r="D132" s="492">
        <v>2.1409213153003752E-2</v>
      </c>
      <c r="E132" s="492">
        <v>5.0933217386022033E-3</v>
      </c>
      <c r="F132" s="492">
        <v>2.3300142042280807E-2</v>
      </c>
      <c r="G132" s="492">
        <v>0.90418904937683764</v>
      </c>
      <c r="H132" s="492">
        <v>1.1573826952939752E-2</v>
      </c>
      <c r="I132" s="492">
        <v>3.4434446736335826E-2</v>
      </c>
      <c r="J132" s="249"/>
      <c r="K132" s="204">
        <f t="shared" ref="K132:K195" si="5">SUM(D132:J132)</f>
        <v>0.99999999999999989</v>
      </c>
    </row>
    <row r="133" spans="1:11" x14ac:dyDescent="0.2">
      <c r="A133" s="200">
        <v>130</v>
      </c>
      <c r="B133" s="206" t="s">
        <v>268</v>
      </c>
      <c r="C133" s="250" t="s">
        <v>270</v>
      </c>
      <c r="D133" s="249">
        <v>0.2</v>
      </c>
      <c r="E133" s="249">
        <v>6.6699999999999995E-2</v>
      </c>
      <c r="F133" s="249">
        <v>0.2</v>
      </c>
      <c r="G133" s="249">
        <v>0.46660000000000001</v>
      </c>
      <c r="H133" s="249">
        <v>6.6699999999999995E-2</v>
      </c>
      <c r="I133" s="249">
        <v>0</v>
      </c>
      <c r="J133" s="249">
        <v>0</v>
      </c>
      <c r="K133" s="204">
        <f t="shared" si="5"/>
        <v>1</v>
      </c>
    </row>
    <row r="134" spans="1:11" x14ac:dyDescent="0.2">
      <c r="A134" s="200">
        <v>131</v>
      </c>
      <c r="B134" s="206" t="s">
        <v>268</v>
      </c>
      <c r="C134" s="245" t="s">
        <v>271</v>
      </c>
      <c r="D134" s="251">
        <f t="shared" ref="D134:J134" si="6">SUM(D130:D133)/5</f>
        <v>4.6301842630600755E-2</v>
      </c>
      <c r="E134" s="251">
        <f t="shared" si="6"/>
        <v>1.5158664347720441E-2</v>
      </c>
      <c r="F134" s="251">
        <f t="shared" si="6"/>
        <v>4.4660028408456162E-2</v>
      </c>
      <c r="G134" s="251">
        <f t="shared" si="6"/>
        <v>0.65735780987536763</v>
      </c>
      <c r="H134" s="251">
        <f t="shared" si="6"/>
        <v>1.577476539058795E-2</v>
      </c>
      <c r="I134" s="251">
        <f t="shared" si="6"/>
        <v>2.0746889347267167E-2</v>
      </c>
      <c r="J134" s="251">
        <f t="shared" si="6"/>
        <v>0</v>
      </c>
      <c r="K134" s="204">
        <f t="shared" si="5"/>
        <v>0.80000000000000016</v>
      </c>
    </row>
    <row r="135" spans="1:11" x14ac:dyDescent="0.2">
      <c r="A135" s="200">
        <v>132</v>
      </c>
      <c r="B135" s="206" t="s">
        <v>272</v>
      </c>
      <c r="C135" s="252" t="s">
        <v>45</v>
      </c>
      <c r="D135" s="240">
        <v>4.8583557614938532E-3</v>
      </c>
      <c r="E135" s="240">
        <v>1.1092228295552287E-2</v>
      </c>
      <c r="F135" s="240">
        <v>8.3828140173691067E-3</v>
      </c>
      <c r="G135" s="240">
        <v>7.7828029188979208E-4</v>
      </c>
      <c r="H135" s="240">
        <v>0.96422338447878808</v>
      </c>
      <c r="I135" s="240">
        <v>1.0664937154906911E-2</v>
      </c>
      <c r="J135" s="240">
        <v>0</v>
      </c>
      <c r="K135" s="204">
        <f t="shared" si="5"/>
        <v>1</v>
      </c>
    </row>
    <row r="136" spans="1:11" ht="13.5" thickBot="1" x14ac:dyDescent="0.25">
      <c r="A136" s="200">
        <v>133</v>
      </c>
      <c r="B136" s="206" t="s">
        <v>272</v>
      </c>
      <c r="C136" s="252" t="s">
        <v>273</v>
      </c>
      <c r="D136" s="253">
        <v>0</v>
      </c>
      <c r="E136" s="253">
        <v>0</v>
      </c>
      <c r="F136" s="253">
        <v>0</v>
      </c>
      <c r="G136" s="253">
        <v>0</v>
      </c>
      <c r="H136" s="253">
        <v>1</v>
      </c>
      <c r="I136" s="253">
        <v>0</v>
      </c>
      <c r="J136" s="253">
        <v>0</v>
      </c>
      <c r="K136" s="204">
        <f t="shared" si="5"/>
        <v>1</v>
      </c>
    </row>
    <row r="137" spans="1:11" ht="13.5" thickBot="1" x14ac:dyDescent="0.25">
      <c r="A137" s="200">
        <v>134</v>
      </c>
      <c r="B137" s="206" t="s">
        <v>272</v>
      </c>
      <c r="C137" s="245" t="s">
        <v>274</v>
      </c>
      <c r="D137" s="246">
        <f t="shared" ref="D137:J137" si="7">SUM(D135:D136)/2</f>
        <v>2.4291778807469266E-3</v>
      </c>
      <c r="E137" s="246">
        <f t="shared" si="7"/>
        <v>5.5461141477761433E-3</v>
      </c>
      <c r="F137" s="246">
        <f t="shared" si="7"/>
        <v>4.1914070086845534E-3</v>
      </c>
      <c r="G137" s="246">
        <f t="shared" si="7"/>
        <v>3.8914014594489604E-4</v>
      </c>
      <c r="H137" s="246">
        <f t="shared" si="7"/>
        <v>0.98211169223939399</v>
      </c>
      <c r="I137" s="246">
        <f t="shared" si="7"/>
        <v>5.3324685774534556E-3</v>
      </c>
      <c r="J137" s="246">
        <f t="shared" si="7"/>
        <v>0</v>
      </c>
      <c r="K137" s="204">
        <f t="shared" si="5"/>
        <v>1</v>
      </c>
    </row>
    <row r="138" spans="1:11" x14ac:dyDescent="0.2">
      <c r="A138" s="200">
        <v>135</v>
      </c>
      <c r="B138" s="206" t="s">
        <v>23</v>
      </c>
      <c r="C138" s="254" t="s">
        <v>275</v>
      </c>
      <c r="D138" s="255">
        <v>0.1938</v>
      </c>
      <c r="E138" s="255">
        <v>0.2157</v>
      </c>
      <c r="F138" s="255">
        <v>0.12540000000000001</v>
      </c>
      <c r="G138" s="255">
        <v>0.24360000000000001</v>
      </c>
      <c r="H138" s="255">
        <v>0.1638</v>
      </c>
      <c r="I138" s="255">
        <v>5.7700000000000001E-2</v>
      </c>
      <c r="J138" s="255">
        <v>0</v>
      </c>
      <c r="K138" s="204">
        <f t="shared" si="5"/>
        <v>0.99999999999999989</v>
      </c>
    </row>
    <row r="139" spans="1:11" x14ac:dyDescent="0.2">
      <c r="A139" s="200">
        <v>136</v>
      </c>
      <c r="B139" s="206" t="s">
        <v>23</v>
      </c>
      <c r="C139" s="254" t="s">
        <v>116</v>
      </c>
      <c r="D139" s="237">
        <v>0.28689999999999999</v>
      </c>
      <c r="E139" s="237">
        <v>9.8599999999999993E-2</v>
      </c>
      <c r="F139" s="237">
        <v>0.1855</v>
      </c>
      <c r="G139" s="237">
        <v>0.39250000000000002</v>
      </c>
      <c r="H139" s="237">
        <v>1.5100000000000001E-2</v>
      </c>
      <c r="I139" s="237">
        <v>2.1399999999999999E-2</v>
      </c>
      <c r="J139" s="237">
        <v>0</v>
      </c>
      <c r="K139" s="204">
        <f t="shared" si="5"/>
        <v>1</v>
      </c>
    </row>
    <row r="140" spans="1:11" x14ac:dyDescent="0.2">
      <c r="A140" s="200">
        <v>137</v>
      </c>
      <c r="B140" s="206" t="s">
        <v>23</v>
      </c>
      <c r="C140" s="254" t="s">
        <v>276</v>
      </c>
      <c r="D140" s="237">
        <v>0.28689999999999999</v>
      </c>
      <c r="E140" s="237">
        <v>9.8599999999999993E-2</v>
      </c>
      <c r="F140" s="237">
        <v>0.1855</v>
      </c>
      <c r="G140" s="237">
        <v>0.39250000000000002</v>
      </c>
      <c r="H140" s="237">
        <v>1.5100000000000001E-2</v>
      </c>
      <c r="I140" s="237">
        <v>2.1399999999999999E-2</v>
      </c>
      <c r="J140" s="237">
        <v>0</v>
      </c>
      <c r="K140" s="204">
        <f t="shared" si="5"/>
        <v>1</v>
      </c>
    </row>
    <row r="141" spans="1:11" x14ac:dyDescent="0.2">
      <c r="A141" s="200">
        <v>138</v>
      </c>
      <c r="B141" s="206" t="s">
        <v>23</v>
      </c>
      <c r="C141" s="254" t="s">
        <v>277</v>
      </c>
      <c r="D141" s="249">
        <v>0.42827483153746942</v>
      </c>
      <c r="E141" s="256">
        <v>2.4948007351092243E-2</v>
      </c>
      <c r="F141" s="256">
        <v>0.18503140719246045</v>
      </c>
      <c r="G141" s="256">
        <v>0.34510999999999997</v>
      </c>
      <c r="H141" s="256">
        <v>0</v>
      </c>
      <c r="I141" s="256">
        <v>1.66E-2</v>
      </c>
      <c r="J141" s="256">
        <v>0</v>
      </c>
      <c r="K141" s="204">
        <f t="shared" si="5"/>
        <v>0.99996424608102208</v>
      </c>
    </row>
    <row r="142" spans="1:11" x14ac:dyDescent="0.2">
      <c r="A142" s="200">
        <v>139</v>
      </c>
      <c r="B142" s="206" t="s">
        <v>23</v>
      </c>
      <c r="C142" s="254" t="s">
        <v>278</v>
      </c>
      <c r="D142" s="237">
        <v>0.28689999999999999</v>
      </c>
      <c r="E142" s="237">
        <v>9.8599999999999993E-2</v>
      </c>
      <c r="F142" s="237">
        <v>0.1855</v>
      </c>
      <c r="G142" s="237">
        <v>0.39250000000000002</v>
      </c>
      <c r="H142" s="237">
        <v>1.5100000000000001E-2</v>
      </c>
      <c r="I142" s="237">
        <v>2.1399999999999999E-2</v>
      </c>
      <c r="J142" s="237">
        <v>0</v>
      </c>
      <c r="K142" s="204">
        <f t="shared" si="5"/>
        <v>1</v>
      </c>
    </row>
    <row r="143" spans="1:11" ht="13.5" thickBot="1" x14ac:dyDescent="0.25">
      <c r="A143" s="200">
        <v>140</v>
      </c>
      <c r="B143" s="206" t="s">
        <v>23</v>
      </c>
      <c r="C143" s="257" t="s">
        <v>279</v>
      </c>
      <c r="D143" s="253">
        <v>0.1938</v>
      </c>
      <c r="E143" s="253">
        <v>0.2157</v>
      </c>
      <c r="F143" s="253">
        <v>0.12540000000000001</v>
      </c>
      <c r="G143" s="253">
        <v>0.24360000000000001</v>
      </c>
      <c r="H143" s="253">
        <v>0.1638</v>
      </c>
      <c r="I143" s="253">
        <v>5.7700000000000001E-2</v>
      </c>
      <c r="J143" s="253">
        <v>0</v>
      </c>
      <c r="K143" s="204">
        <f t="shared" si="5"/>
        <v>0.99999999999999989</v>
      </c>
    </row>
    <row r="144" spans="1:11" x14ac:dyDescent="0.2">
      <c r="A144" s="200">
        <v>141</v>
      </c>
      <c r="B144" s="206" t="s">
        <v>23</v>
      </c>
      <c r="C144" s="245" t="s">
        <v>280</v>
      </c>
      <c r="D144" s="246">
        <f>SUM(D138:D143)/6</f>
        <v>0.27942913858957824</v>
      </c>
      <c r="E144" s="246">
        <f t="shared" ref="E144:J144" si="8">SUM(E138:E143)/6</f>
        <v>0.12535800122518206</v>
      </c>
      <c r="F144" s="246">
        <f t="shared" si="8"/>
        <v>0.16538856786541009</v>
      </c>
      <c r="G144" s="246">
        <f t="shared" si="8"/>
        <v>0.33496833333333331</v>
      </c>
      <c r="H144" s="246">
        <f t="shared" si="8"/>
        <v>6.2150000000000004E-2</v>
      </c>
      <c r="I144" s="246">
        <f t="shared" si="8"/>
        <v>3.27E-2</v>
      </c>
      <c r="J144" s="246">
        <f t="shared" si="8"/>
        <v>0</v>
      </c>
      <c r="K144" s="204">
        <f t="shared" si="5"/>
        <v>0.99999404101350375</v>
      </c>
    </row>
    <row r="145" spans="1:11" x14ac:dyDescent="0.2">
      <c r="A145" s="200">
        <v>142</v>
      </c>
      <c r="B145" s="206" t="s">
        <v>281</v>
      </c>
      <c r="C145" s="235" t="s">
        <v>282</v>
      </c>
      <c r="D145" s="258">
        <v>0.12126793234242933</v>
      </c>
      <c r="E145" s="258">
        <v>0.14198532559459218</v>
      </c>
      <c r="F145" s="258">
        <v>9.1968899021374451E-2</v>
      </c>
      <c r="G145" s="258">
        <v>0.16912401565004431</v>
      </c>
      <c r="H145" s="258">
        <v>0.13899867591864368</v>
      </c>
      <c r="I145" s="258">
        <v>7.5542325803657648E-2</v>
      </c>
      <c r="J145" s="258">
        <v>0.26111282566925842</v>
      </c>
      <c r="K145" s="204">
        <f t="shared" si="5"/>
        <v>0.99999999999999989</v>
      </c>
    </row>
    <row r="146" spans="1:11" x14ac:dyDescent="0.2">
      <c r="A146" s="200">
        <v>143</v>
      </c>
      <c r="B146" s="206" t="s">
        <v>281</v>
      </c>
      <c r="C146" s="235" t="s">
        <v>283</v>
      </c>
      <c r="D146" s="258">
        <v>0.12126793234242933</v>
      </c>
      <c r="E146" s="258">
        <v>0.14198532559459218</v>
      </c>
      <c r="F146" s="258">
        <v>9.1968899021374451E-2</v>
      </c>
      <c r="G146" s="258">
        <v>0.16912401565004431</v>
      </c>
      <c r="H146" s="258">
        <v>0.13899867591864368</v>
      </c>
      <c r="I146" s="258">
        <v>7.5542325803657648E-2</v>
      </c>
      <c r="J146" s="258">
        <v>0.26111282566925842</v>
      </c>
      <c r="K146" s="204">
        <f t="shared" si="5"/>
        <v>0.99999999999999989</v>
      </c>
    </row>
    <row r="147" spans="1:11" x14ac:dyDescent="0.2">
      <c r="A147" s="200">
        <v>144</v>
      </c>
      <c r="B147" s="206" t="s">
        <v>281</v>
      </c>
      <c r="C147" s="235" t="s">
        <v>284</v>
      </c>
      <c r="D147" s="258">
        <v>0.1938</v>
      </c>
      <c r="E147" s="258">
        <v>0.2157</v>
      </c>
      <c r="F147" s="258">
        <v>0.12540000000000001</v>
      </c>
      <c r="G147" s="258">
        <v>0.24360000000000001</v>
      </c>
      <c r="H147" s="258">
        <v>0.1638</v>
      </c>
      <c r="I147" s="258">
        <v>5.7700000000000001E-2</v>
      </c>
      <c r="J147" s="258">
        <v>0</v>
      </c>
      <c r="K147" s="204">
        <f t="shared" si="5"/>
        <v>0.99999999999999989</v>
      </c>
    </row>
    <row r="148" spans="1:11" x14ac:dyDescent="0.2">
      <c r="A148" s="200">
        <v>145</v>
      </c>
      <c r="B148" s="206" t="s">
        <v>281</v>
      </c>
      <c r="C148" s="235" t="s">
        <v>285</v>
      </c>
      <c r="D148" s="258">
        <v>0.12126793234242933</v>
      </c>
      <c r="E148" s="258">
        <v>0.14198532559459218</v>
      </c>
      <c r="F148" s="258">
        <v>9.1968899021374451E-2</v>
      </c>
      <c r="G148" s="258">
        <v>0.16912401565004431</v>
      </c>
      <c r="H148" s="258">
        <v>0.13899867591864368</v>
      </c>
      <c r="I148" s="258">
        <v>7.5542325803657648E-2</v>
      </c>
      <c r="J148" s="258">
        <v>0.26111282566925842</v>
      </c>
      <c r="K148" s="204">
        <f t="shared" si="5"/>
        <v>0.99999999999999989</v>
      </c>
    </row>
    <row r="149" spans="1:11" x14ac:dyDescent="0.2">
      <c r="A149" s="200">
        <v>146</v>
      </c>
      <c r="B149" s="206" t="s">
        <v>281</v>
      </c>
      <c r="C149" s="235" t="s">
        <v>286</v>
      </c>
      <c r="D149" s="258">
        <v>0.12126793234242933</v>
      </c>
      <c r="E149" s="258">
        <v>0.14198532559459218</v>
      </c>
      <c r="F149" s="258">
        <v>9.1968899021374451E-2</v>
      </c>
      <c r="G149" s="258">
        <v>0.16912401565004431</v>
      </c>
      <c r="H149" s="258">
        <v>0.13899867591864368</v>
      </c>
      <c r="I149" s="258">
        <v>7.5542325803657648E-2</v>
      </c>
      <c r="J149" s="258">
        <v>0.26111282566925842</v>
      </c>
      <c r="K149" s="204">
        <f t="shared" si="5"/>
        <v>0.99999999999999989</v>
      </c>
    </row>
    <row r="150" spans="1:11" x14ac:dyDescent="0.2">
      <c r="A150" s="200">
        <v>147</v>
      </c>
      <c r="B150" s="206" t="s">
        <v>281</v>
      </c>
      <c r="C150" s="235" t="s">
        <v>287</v>
      </c>
      <c r="D150" s="258">
        <v>0.12126793234242933</v>
      </c>
      <c r="E150" s="258">
        <v>0.14198532559459218</v>
      </c>
      <c r="F150" s="258">
        <v>9.1968899021374451E-2</v>
      </c>
      <c r="G150" s="258">
        <v>0.16912401565004431</v>
      </c>
      <c r="H150" s="258">
        <v>0.13899867591864368</v>
      </c>
      <c r="I150" s="258">
        <v>7.5542325803657648E-2</v>
      </c>
      <c r="J150" s="258">
        <v>0.26111282566925842</v>
      </c>
      <c r="K150" s="204">
        <f t="shared" si="5"/>
        <v>0.99999999999999989</v>
      </c>
    </row>
    <row r="151" spans="1:11" x14ac:dyDescent="0.2">
      <c r="A151" s="200">
        <v>148</v>
      </c>
      <c r="B151" s="206" t="s">
        <v>281</v>
      </c>
      <c r="C151" s="259" t="s">
        <v>288</v>
      </c>
      <c r="D151" s="258">
        <v>0.12126793234242933</v>
      </c>
      <c r="E151" s="258">
        <v>0.14198532559459218</v>
      </c>
      <c r="F151" s="258">
        <v>9.1968899021374451E-2</v>
      </c>
      <c r="G151" s="258">
        <v>0.16912401565004431</v>
      </c>
      <c r="H151" s="258">
        <v>0.13899867591864368</v>
      </c>
      <c r="I151" s="258">
        <v>7.5542325803657648E-2</v>
      </c>
      <c r="J151" s="258">
        <v>0.26111282566925842</v>
      </c>
      <c r="K151" s="204">
        <f t="shared" si="5"/>
        <v>0.99999999999999989</v>
      </c>
    </row>
    <row r="152" spans="1:11" x14ac:dyDescent="0.2">
      <c r="A152" s="200">
        <v>149</v>
      </c>
      <c r="B152" s="206" t="s">
        <v>281</v>
      </c>
      <c r="C152" s="235" t="s">
        <v>17</v>
      </c>
      <c r="D152" s="260">
        <v>0.12126793234242933</v>
      </c>
      <c r="E152" s="260">
        <v>0.14198532559459218</v>
      </c>
      <c r="F152" s="260">
        <v>9.1968899021374451E-2</v>
      </c>
      <c r="G152" s="260">
        <v>0.16912401565004431</v>
      </c>
      <c r="H152" s="260">
        <v>0.13899867591864368</v>
      </c>
      <c r="I152" s="260">
        <v>7.5542325803657648E-2</v>
      </c>
      <c r="J152" s="260">
        <v>0.26111282566925842</v>
      </c>
      <c r="K152" s="204">
        <f t="shared" si="5"/>
        <v>0.99999999999999989</v>
      </c>
    </row>
    <row r="153" spans="1:11" x14ac:dyDescent="0.2">
      <c r="A153" s="200">
        <v>150</v>
      </c>
      <c r="B153" s="206" t="s">
        <v>281</v>
      </c>
      <c r="C153" s="235" t="s">
        <v>289</v>
      </c>
      <c r="D153" s="260">
        <v>0.12126793234242933</v>
      </c>
      <c r="E153" s="260">
        <v>0.14198532559459218</v>
      </c>
      <c r="F153" s="260">
        <v>9.1968899021374451E-2</v>
      </c>
      <c r="G153" s="260">
        <v>0.16912401565004431</v>
      </c>
      <c r="H153" s="260">
        <v>0.13899867591864368</v>
      </c>
      <c r="I153" s="260">
        <v>7.5542325803657648E-2</v>
      </c>
      <c r="J153" s="260">
        <v>0.26111282566925842</v>
      </c>
      <c r="K153" s="204">
        <f t="shared" si="5"/>
        <v>0.99999999999999989</v>
      </c>
    </row>
    <row r="154" spans="1:11" x14ac:dyDescent="0.2">
      <c r="A154" s="200">
        <v>151</v>
      </c>
      <c r="B154" s="206" t="s">
        <v>281</v>
      </c>
      <c r="C154" s="229" t="s">
        <v>290</v>
      </c>
      <c r="D154" s="260">
        <v>0.12126793234242933</v>
      </c>
      <c r="E154" s="260">
        <v>0.14198532559459218</v>
      </c>
      <c r="F154" s="260">
        <v>9.1968899021374451E-2</v>
      </c>
      <c r="G154" s="260">
        <v>0.16912401565004431</v>
      </c>
      <c r="H154" s="260">
        <v>0.13899867591864368</v>
      </c>
      <c r="I154" s="260">
        <v>7.5542325803657648E-2</v>
      </c>
      <c r="J154" s="260">
        <v>0.26111282566925842</v>
      </c>
      <c r="K154" s="204">
        <f t="shared" si="5"/>
        <v>0.99999999999999989</v>
      </c>
    </row>
    <row r="155" spans="1:11" x14ac:dyDescent="0.2">
      <c r="A155" s="200">
        <v>152</v>
      </c>
      <c r="B155" s="206" t="s">
        <v>281</v>
      </c>
      <c r="C155" s="229" t="s">
        <v>291</v>
      </c>
      <c r="D155" s="260">
        <v>0.12126793234242933</v>
      </c>
      <c r="E155" s="260">
        <v>0.14198532559459218</v>
      </c>
      <c r="F155" s="260">
        <v>9.1968899021374451E-2</v>
      </c>
      <c r="G155" s="260">
        <v>0.16912401565004431</v>
      </c>
      <c r="H155" s="260">
        <v>0.13899867591864368</v>
      </c>
      <c r="I155" s="260">
        <v>7.5542325803657648E-2</v>
      </c>
      <c r="J155" s="260">
        <v>0.26111282566925842</v>
      </c>
      <c r="K155" s="204">
        <f t="shared" si="5"/>
        <v>0.99999999999999989</v>
      </c>
    </row>
    <row r="156" spans="1:11" ht="13.5" thickBot="1" x14ac:dyDescent="0.25">
      <c r="A156" s="200">
        <v>153</v>
      </c>
      <c r="B156" s="206" t="s">
        <v>281</v>
      </c>
      <c r="C156" s="245" t="s">
        <v>292</v>
      </c>
      <c r="D156" s="246">
        <f t="shared" ref="D156:J156" si="9">SUM(D145:D155)/12</f>
        <v>0.11720661028535774</v>
      </c>
      <c r="E156" s="246">
        <f t="shared" si="9"/>
        <v>0.13629610466216016</v>
      </c>
      <c r="F156" s="246">
        <f t="shared" si="9"/>
        <v>8.7090749184478733E-2</v>
      </c>
      <c r="G156" s="246">
        <f t="shared" si="9"/>
        <v>0.1612366797083703</v>
      </c>
      <c r="H156" s="246">
        <f t="shared" si="9"/>
        <v>0.12948222993220307</v>
      </c>
      <c r="I156" s="246">
        <f t="shared" si="9"/>
        <v>6.7760271503048031E-2</v>
      </c>
      <c r="J156" s="246">
        <f t="shared" si="9"/>
        <v>0.21759402139104875</v>
      </c>
      <c r="K156" s="204">
        <f t="shared" si="5"/>
        <v>0.91666666666666674</v>
      </c>
    </row>
    <row r="157" spans="1:11" x14ac:dyDescent="0.2">
      <c r="A157" s="200">
        <v>154</v>
      </c>
      <c r="B157" s="206" t="s">
        <v>293</v>
      </c>
      <c r="C157" s="261" t="s">
        <v>294</v>
      </c>
      <c r="D157" s="217">
        <v>1.8071932401147268E-3</v>
      </c>
      <c r="E157" s="262">
        <v>4.6926213290919944E-5</v>
      </c>
      <c r="F157" s="262">
        <v>0</v>
      </c>
      <c r="G157" s="262">
        <v>1.1872506926259405E-4</v>
      </c>
      <c r="H157" s="262">
        <v>1.6902989160180256E-3</v>
      </c>
      <c r="I157" s="262">
        <v>2.2017995186874365E-2</v>
      </c>
      <c r="J157" s="262">
        <v>0.97431886137443935</v>
      </c>
      <c r="K157" s="204">
        <f t="shared" si="5"/>
        <v>1</v>
      </c>
    </row>
    <row r="158" spans="1:11" x14ac:dyDescent="0.2">
      <c r="A158" s="200">
        <v>155</v>
      </c>
      <c r="B158" s="206" t="s">
        <v>293</v>
      </c>
      <c r="C158" s="261" t="s">
        <v>295</v>
      </c>
      <c r="D158" s="249"/>
      <c r="E158" s="263"/>
      <c r="F158" s="263"/>
      <c r="G158" s="263"/>
      <c r="H158" s="263"/>
      <c r="I158" s="263"/>
      <c r="J158" s="263">
        <v>1</v>
      </c>
      <c r="K158" s="204">
        <f t="shared" si="5"/>
        <v>1</v>
      </c>
    </row>
    <row r="159" spans="1:11" x14ac:dyDescent="0.2">
      <c r="A159" s="200">
        <v>156</v>
      </c>
      <c r="B159" s="206" t="s">
        <v>293</v>
      </c>
      <c r="C159" s="261" t="s">
        <v>296</v>
      </c>
      <c r="D159" s="249">
        <v>0.187596454350762</v>
      </c>
      <c r="E159" s="263">
        <v>4.1614589126675594E-2</v>
      </c>
      <c r="F159" s="263">
        <v>1.6064109939889614E-2</v>
      </c>
      <c r="G159" s="263">
        <v>0.21938396574859892</v>
      </c>
      <c r="H159" s="263">
        <v>2.4432667589136821E-2</v>
      </c>
      <c r="I159" s="263">
        <v>0.43627813327819265</v>
      </c>
      <c r="J159" s="263">
        <v>7.4630079966744464E-2</v>
      </c>
      <c r="K159" s="204">
        <f t="shared" si="5"/>
        <v>1</v>
      </c>
    </row>
    <row r="160" spans="1:11" x14ac:dyDescent="0.2">
      <c r="A160" s="200">
        <v>157</v>
      </c>
      <c r="B160" s="206" t="s">
        <v>293</v>
      </c>
      <c r="C160" s="261" t="s">
        <v>297</v>
      </c>
      <c r="D160" s="249">
        <v>6.3469199833063317E-2</v>
      </c>
      <c r="E160" s="263">
        <v>8.7534188446786627E-3</v>
      </c>
      <c r="F160" s="263">
        <v>1.9797367367555559E-2</v>
      </c>
      <c r="G160" s="263">
        <v>7.4278224130636353E-2</v>
      </c>
      <c r="H160" s="263">
        <v>2.6867036529182826E-2</v>
      </c>
      <c r="I160" s="263">
        <v>0.65695060752814549</v>
      </c>
      <c r="J160" s="263">
        <v>0.14988414576673789</v>
      </c>
      <c r="K160" s="204">
        <f t="shared" si="5"/>
        <v>1</v>
      </c>
    </row>
    <row r="161" spans="1:11" x14ac:dyDescent="0.2">
      <c r="A161" s="200">
        <v>158</v>
      </c>
      <c r="B161" s="206" t="s">
        <v>293</v>
      </c>
      <c r="C161" s="261" t="s">
        <v>298</v>
      </c>
      <c r="D161" s="249">
        <v>0.30277956717333337</v>
      </c>
      <c r="E161" s="263">
        <v>0.13391306678561835</v>
      </c>
      <c r="F161" s="263">
        <v>1.6340950191834964E-2</v>
      </c>
      <c r="G161" s="263">
        <v>3.3487646880560447E-2</v>
      </c>
      <c r="H161" s="263">
        <v>8.9875692936467938E-2</v>
      </c>
      <c r="I161" s="263">
        <v>0.11566801585725248</v>
      </c>
      <c r="J161" s="263">
        <v>0.30793506017493222</v>
      </c>
      <c r="K161" s="204">
        <f t="shared" si="5"/>
        <v>0.99999999999999978</v>
      </c>
    </row>
    <row r="162" spans="1:11" x14ac:dyDescent="0.2">
      <c r="A162" s="200">
        <v>159</v>
      </c>
      <c r="B162" s="206" t="s">
        <v>293</v>
      </c>
      <c r="C162" s="261" t="s">
        <v>299</v>
      </c>
      <c r="D162" s="249">
        <v>9.2353450371700473E-3</v>
      </c>
      <c r="E162" s="263">
        <v>5.1141354580823702E-2</v>
      </c>
      <c r="F162" s="263">
        <v>1.0502531610633063E-3</v>
      </c>
      <c r="G162" s="263">
        <v>1.6175799420531819E-2</v>
      </c>
      <c r="H162" s="263">
        <v>2.4376443312308916E-2</v>
      </c>
      <c r="I162" s="263">
        <v>2.305793053644651E-2</v>
      </c>
      <c r="J162" s="263">
        <v>0.87496287395165584</v>
      </c>
      <c r="K162" s="204">
        <f t="shared" si="5"/>
        <v>1.0000000000000002</v>
      </c>
    </row>
    <row r="163" spans="1:11" x14ac:dyDescent="0.2">
      <c r="A163" s="200">
        <v>160</v>
      </c>
      <c r="B163" s="206" t="s">
        <v>293</v>
      </c>
      <c r="C163" s="261" t="s">
        <v>300</v>
      </c>
      <c r="D163" s="249">
        <v>3.8587838647777793E-4</v>
      </c>
      <c r="E163" s="263">
        <v>2.7348738258290007E-3</v>
      </c>
      <c r="F163" s="263">
        <v>1.2564114834951944E-3</v>
      </c>
      <c r="G163" s="263">
        <v>3.6063956008370424E-4</v>
      </c>
      <c r="H163" s="263">
        <v>1.1055338671072857E-2</v>
      </c>
      <c r="I163" s="263">
        <v>2.3347115500787167E-2</v>
      </c>
      <c r="J163" s="263">
        <v>0.96085974257225437</v>
      </c>
      <c r="K163" s="204">
        <f t="shared" si="5"/>
        <v>1</v>
      </c>
    </row>
    <row r="164" spans="1:11" x14ac:dyDescent="0.2">
      <c r="A164" s="200">
        <v>161</v>
      </c>
      <c r="B164" s="206" t="s">
        <v>293</v>
      </c>
      <c r="C164" s="261" t="s">
        <v>301</v>
      </c>
      <c r="D164" s="264">
        <v>0.30061434686234045</v>
      </c>
      <c r="E164" s="264">
        <v>0.11772911411755714</v>
      </c>
      <c r="F164" s="264">
        <v>0.29181475961170983</v>
      </c>
      <c r="G164" s="264">
        <v>0.28984177940839256</v>
      </c>
      <c r="H164" s="264">
        <v>0</v>
      </c>
      <c r="I164" s="264">
        <v>0</v>
      </c>
      <c r="J164" s="264">
        <v>0</v>
      </c>
      <c r="K164" s="204">
        <f t="shared" si="5"/>
        <v>1</v>
      </c>
    </row>
    <row r="165" spans="1:11" x14ac:dyDescent="0.2">
      <c r="A165" s="200">
        <v>162</v>
      </c>
      <c r="B165" s="206" t="s">
        <v>293</v>
      </c>
      <c r="C165" s="261" t="s">
        <v>302</v>
      </c>
      <c r="D165" s="264">
        <v>0.17810088285488954</v>
      </c>
      <c r="E165" s="265">
        <v>0.21820621414165359</v>
      </c>
      <c r="F165" s="264">
        <v>5.5298569577614011E-2</v>
      </c>
      <c r="G165" s="265">
        <v>0.11821969340755774</v>
      </c>
      <c r="H165" s="264">
        <v>9.6938045817789753E-2</v>
      </c>
      <c r="I165" s="265">
        <v>1.7469334230758145E-2</v>
      </c>
      <c r="J165" s="264">
        <v>0.31576725996973698</v>
      </c>
      <c r="K165" s="204">
        <f t="shared" si="5"/>
        <v>0.99999999999999978</v>
      </c>
    </row>
    <row r="166" spans="1:11" x14ac:dyDescent="0.2">
      <c r="A166" s="200">
        <v>163</v>
      </c>
      <c r="B166" s="206" t="s">
        <v>293</v>
      </c>
      <c r="C166" s="261" t="s">
        <v>303</v>
      </c>
      <c r="D166" s="264">
        <v>0.21734960682065599</v>
      </c>
      <c r="E166" s="265">
        <v>0.12650620753190359</v>
      </c>
      <c r="F166" s="264">
        <v>0.20036318137174949</v>
      </c>
      <c r="G166" s="265">
        <v>9.2123353671930225E-2</v>
      </c>
      <c r="H166" s="264">
        <v>0.1238858948045397</v>
      </c>
      <c r="I166" s="265">
        <v>5.0503417790106787E-2</v>
      </c>
      <c r="J166" s="264">
        <v>0.18926833800911413</v>
      </c>
      <c r="K166" s="204">
        <f t="shared" si="5"/>
        <v>1</v>
      </c>
    </row>
    <row r="167" spans="1:11" x14ac:dyDescent="0.2">
      <c r="A167" s="200">
        <v>164</v>
      </c>
      <c r="B167" s="206" t="s">
        <v>293</v>
      </c>
      <c r="C167" s="261" t="s">
        <v>304</v>
      </c>
      <c r="D167" s="264">
        <v>4.5968674649982146E-2</v>
      </c>
      <c r="E167" s="265">
        <v>6.3828615944109962E-2</v>
      </c>
      <c r="F167" s="264">
        <v>7.2934084045230291E-3</v>
      </c>
      <c r="G167" s="265">
        <v>3.300440601956485E-2</v>
      </c>
      <c r="H167" s="264">
        <v>7.9026085378963454E-2</v>
      </c>
      <c r="I167" s="265">
        <v>0.6338928567978066</v>
      </c>
      <c r="J167" s="264">
        <v>0.13698595280504988</v>
      </c>
      <c r="K167" s="204">
        <f t="shared" si="5"/>
        <v>0.99999999999999989</v>
      </c>
    </row>
    <row r="168" spans="1:11" x14ac:dyDescent="0.2">
      <c r="A168" s="200">
        <v>165</v>
      </c>
      <c r="B168" s="206" t="s">
        <v>293</v>
      </c>
      <c r="C168" s="261" t="s">
        <v>305</v>
      </c>
      <c r="D168" s="249">
        <v>0.27504447379340441</v>
      </c>
      <c r="E168" s="263">
        <v>0.26137956016153069</v>
      </c>
      <c r="F168" s="263">
        <v>0.11316962642243389</v>
      </c>
      <c r="G168" s="263">
        <v>8.9390688533604004E-2</v>
      </c>
      <c r="H168" s="263">
        <v>0.1684728781049937</v>
      </c>
      <c r="I168" s="263">
        <v>4.5746773762974591E-2</v>
      </c>
      <c r="J168" s="263">
        <v>4.6795998797166692E-2</v>
      </c>
      <c r="K168" s="204">
        <f t="shared" si="5"/>
        <v>0.99999999957610797</v>
      </c>
    </row>
    <row r="169" spans="1:11" x14ac:dyDescent="0.2">
      <c r="A169" s="200">
        <v>166</v>
      </c>
      <c r="B169" s="206" t="s">
        <v>293</v>
      </c>
      <c r="C169" s="261" t="s">
        <v>306</v>
      </c>
      <c r="D169" s="249">
        <v>0.21984080200008507</v>
      </c>
      <c r="E169" s="263">
        <v>0.1933112363091285</v>
      </c>
      <c r="F169" s="263">
        <v>7.3643989555762776E-2</v>
      </c>
      <c r="G169" s="263">
        <v>5.9075797897938584E-2</v>
      </c>
      <c r="H169" s="263">
        <v>0.1988380053882369</v>
      </c>
      <c r="I169" s="263">
        <v>8.6013183040755822E-2</v>
      </c>
      <c r="J169" s="263">
        <v>0.16927698580809217</v>
      </c>
      <c r="K169" s="204">
        <f t="shared" si="5"/>
        <v>0.99999999999999978</v>
      </c>
    </row>
    <row r="170" spans="1:11" x14ac:dyDescent="0.2">
      <c r="A170" s="200">
        <v>167</v>
      </c>
      <c r="B170" s="206" t="s">
        <v>293</v>
      </c>
      <c r="C170" s="261" t="s">
        <v>307</v>
      </c>
      <c r="D170" s="219">
        <v>7.5121046996596302E-2</v>
      </c>
      <c r="E170" s="220">
        <v>0.10403250291631377</v>
      </c>
      <c r="F170" s="219">
        <v>2.0202464085396058E-2</v>
      </c>
      <c r="G170" s="220">
        <v>5.3224723948928555E-2</v>
      </c>
      <c r="H170" s="219">
        <v>6.6987328017385994E-2</v>
      </c>
      <c r="I170" s="220">
        <v>3.2035507119001584E-2</v>
      </c>
      <c r="J170" s="219">
        <v>0.64839642691637767</v>
      </c>
      <c r="K170" s="204">
        <f t="shared" si="5"/>
        <v>1</v>
      </c>
    </row>
    <row r="171" spans="1:11" x14ac:dyDescent="0.2">
      <c r="A171" s="200">
        <v>168</v>
      </c>
      <c r="B171" s="206" t="s">
        <v>293</v>
      </c>
      <c r="C171" s="261" t="s">
        <v>308</v>
      </c>
      <c r="D171" s="249">
        <v>1.1575615524909617E-5</v>
      </c>
      <c r="E171" s="263">
        <v>3.1477478133086283E-4</v>
      </c>
      <c r="F171" s="263">
        <v>0</v>
      </c>
      <c r="G171" s="263">
        <v>9.6228714445504189E-6</v>
      </c>
      <c r="H171" s="263">
        <v>1.245308190382394E-3</v>
      </c>
      <c r="I171" s="263">
        <v>2.9590391575302559E-3</v>
      </c>
      <c r="J171" s="263">
        <v>0.99545967938378699</v>
      </c>
      <c r="K171" s="204">
        <f t="shared" si="5"/>
        <v>1</v>
      </c>
    </row>
    <row r="172" spans="1:11" x14ac:dyDescent="0.2">
      <c r="A172" s="200">
        <v>169</v>
      </c>
      <c r="B172" s="206" t="s">
        <v>293</v>
      </c>
      <c r="C172" s="261" t="s">
        <v>309</v>
      </c>
      <c r="D172" s="249">
        <v>0.27027027027027029</v>
      </c>
      <c r="E172" s="263">
        <v>0.24324324324324326</v>
      </c>
      <c r="F172" s="263">
        <v>8.1081081081081086E-2</v>
      </c>
      <c r="G172" s="263">
        <v>2.7027027027027029E-2</v>
      </c>
      <c r="H172" s="263">
        <v>5.4054054054054057E-2</v>
      </c>
      <c r="I172" s="263">
        <v>5.4054054054054057E-2</v>
      </c>
      <c r="J172" s="263">
        <v>0.27027027027027029</v>
      </c>
      <c r="K172" s="204">
        <f t="shared" si="5"/>
        <v>1</v>
      </c>
    </row>
    <row r="173" spans="1:11" x14ac:dyDescent="0.2">
      <c r="A173" s="200">
        <v>170</v>
      </c>
      <c r="B173" s="206" t="s">
        <v>293</v>
      </c>
      <c r="C173" s="261" t="s">
        <v>310</v>
      </c>
      <c r="D173" s="249">
        <v>0.16138958896625899</v>
      </c>
      <c r="E173" s="263">
        <v>0.15950951666563523</v>
      </c>
      <c r="F173" s="263">
        <v>5.1308261434616802E-2</v>
      </c>
      <c r="G173" s="263">
        <v>0.21742684043286478</v>
      </c>
      <c r="H173" s="263">
        <v>0.17944980676441905</v>
      </c>
      <c r="I173" s="263">
        <v>4.18481473498663E-3</v>
      </c>
      <c r="J173" s="263">
        <v>0.22673117100121853</v>
      </c>
      <c r="K173" s="204">
        <f t="shared" si="5"/>
        <v>1</v>
      </c>
    </row>
    <row r="174" spans="1:11" x14ac:dyDescent="0.2">
      <c r="A174" s="200">
        <v>171</v>
      </c>
      <c r="B174" s="206" t="s">
        <v>293</v>
      </c>
      <c r="C174" s="261" t="s">
        <v>311</v>
      </c>
      <c r="D174" s="249">
        <v>0</v>
      </c>
      <c r="E174" s="263">
        <v>2.2437626514626354E-3</v>
      </c>
      <c r="F174" s="263">
        <v>0</v>
      </c>
      <c r="G174" s="263">
        <v>4.8199345846234394E-4</v>
      </c>
      <c r="H174" s="263">
        <v>7.080594707905731E-2</v>
      </c>
      <c r="I174" s="263">
        <v>8.6775442987306814E-2</v>
      </c>
      <c r="J174" s="263">
        <v>0.83969285382371084</v>
      </c>
      <c r="K174" s="204">
        <f t="shared" si="5"/>
        <v>1</v>
      </c>
    </row>
    <row r="175" spans="1:11" x14ac:dyDescent="0.2">
      <c r="A175" s="200">
        <v>172</v>
      </c>
      <c r="B175" s="206" t="s">
        <v>293</v>
      </c>
      <c r="C175" s="261" t="s">
        <v>312</v>
      </c>
      <c r="D175" s="249">
        <v>0.22524570995095827</v>
      </c>
      <c r="E175" s="263">
        <v>0.22413167101418013</v>
      </c>
      <c r="F175" s="263">
        <v>0.17966982804555237</v>
      </c>
      <c r="G175" s="263">
        <v>0.18682471015916183</v>
      </c>
      <c r="H175" s="263">
        <v>0.14811215632483088</v>
      </c>
      <c r="I175" s="263">
        <v>1.4378559295136246E-2</v>
      </c>
      <c r="J175" s="263">
        <v>2.1637365210180271E-2</v>
      </c>
      <c r="K175" s="204">
        <f t="shared" si="5"/>
        <v>0.99999999999999989</v>
      </c>
    </row>
    <row r="176" spans="1:11" x14ac:dyDescent="0.2">
      <c r="A176" s="200">
        <v>173</v>
      </c>
      <c r="B176" s="206" t="s">
        <v>293</v>
      </c>
      <c r="C176" s="261" t="s">
        <v>313</v>
      </c>
      <c r="D176" s="249">
        <v>4.6446140557381971E-2</v>
      </c>
      <c r="E176" s="263">
        <v>0.25907121861218024</v>
      </c>
      <c r="F176" s="263">
        <v>0.14792553735425237</v>
      </c>
      <c r="G176" s="263">
        <v>0.10157784919051463</v>
      </c>
      <c r="H176" s="263">
        <v>5.1555874181104536E-2</v>
      </c>
      <c r="I176" s="263">
        <v>2.1676932549775572E-2</v>
      </c>
      <c r="J176" s="263">
        <v>0.37174644755479064</v>
      </c>
      <c r="K176" s="204">
        <f t="shared" si="5"/>
        <v>1</v>
      </c>
    </row>
    <row r="177" spans="1:11" x14ac:dyDescent="0.2">
      <c r="A177" s="200">
        <v>174</v>
      </c>
      <c r="B177" s="206" t="s">
        <v>293</v>
      </c>
      <c r="C177" s="261" t="s">
        <v>314</v>
      </c>
      <c r="D177" s="264">
        <v>0</v>
      </c>
      <c r="E177" s="265">
        <v>9.8020524461337605E-4</v>
      </c>
      <c r="F177" s="264">
        <v>1.8276099196229509E-4</v>
      </c>
      <c r="G177" s="265">
        <v>0</v>
      </c>
      <c r="H177" s="264">
        <v>0</v>
      </c>
      <c r="I177" s="265">
        <v>1.3653233382109263E-2</v>
      </c>
      <c r="J177" s="264">
        <v>0.98518380038131492</v>
      </c>
      <c r="K177" s="204">
        <f t="shared" si="5"/>
        <v>0.99999999999999989</v>
      </c>
    </row>
    <row r="178" spans="1:11" ht="25.5" x14ac:dyDescent="0.2">
      <c r="A178" s="200">
        <v>175</v>
      </c>
      <c r="B178" s="206" t="s">
        <v>293</v>
      </c>
      <c r="C178" s="266" t="s">
        <v>315</v>
      </c>
      <c r="D178" s="267">
        <v>2.3316389958649243E-2</v>
      </c>
      <c r="E178" s="268">
        <v>0.14072365596692959</v>
      </c>
      <c r="F178" s="267">
        <v>0.19058849002809924</v>
      </c>
      <c r="G178" s="268">
        <v>0.19867181704925338</v>
      </c>
      <c r="H178" s="267">
        <v>9.3072859724585927E-2</v>
      </c>
      <c r="I178" s="268">
        <v>6.8225340863497713E-2</v>
      </c>
      <c r="J178" s="267">
        <v>0.2854014464089849</v>
      </c>
      <c r="K178" s="204">
        <f t="shared" si="5"/>
        <v>1</v>
      </c>
    </row>
    <row r="179" spans="1:11" x14ac:dyDescent="0.2">
      <c r="A179" s="200">
        <v>176</v>
      </c>
      <c r="B179" s="206" t="s">
        <v>293</v>
      </c>
      <c r="C179" s="261" t="s">
        <v>316</v>
      </c>
      <c r="D179" s="264">
        <v>0.11970698057142032</v>
      </c>
      <c r="E179" s="265">
        <v>0.37285119536340949</v>
      </c>
      <c r="F179" s="264">
        <v>9.6899556667516869E-3</v>
      </c>
      <c r="G179" s="265">
        <v>0.18182309781163741</v>
      </c>
      <c r="H179" s="264">
        <v>6.0970007988216265E-2</v>
      </c>
      <c r="I179" s="265">
        <v>1.2538104752883522E-2</v>
      </c>
      <c r="J179" s="264">
        <v>0.24242065784568123</v>
      </c>
      <c r="K179" s="204">
        <f t="shared" si="5"/>
        <v>1</v>
      </c>
    </row>
    <row r="180" spans="1:11" x14ac:dyDescent="0.2">
      <c r="A180" s="200">
        <v>177</v>
      </c>
      <c r="B180" s="206" t="s">
        <v>293</v>
      </c>
      <c r="C180" s="261" t="s">
        <v>317</v>
      </c>
      <c r="D180" s="219">
        <v>0.11177324201946408</v>
      </c>
      <c r="E180" s="220">
        <v>0.14645544638327662</v>
      </c>
      <c r="F180" s="219">
        <v>0.19097326374614454</v>
      </c>
      <c r="G180" s="220">
        <v>0.16753276236019671</v>
      </c>
      <c r="H180" s="219">
        <v>0.26684242730721197</v>
      </c>
      <c r="I180" s="220">
        <v>7.1047017593001138E-2</v>
      </c>
      <c r="J180" s="219">
        <v>4.5375840590705055E-2</v>
      </c>
      <c r="K180" s="204">
        <f t="shared" si="5"/>
        <v>1.0000000000000002</v>
      </c>
    </row>
    <row r="181" spans="1:11" x14ac:dyDescent="0.2">
      <c r="A181" s="200">
        <v>178</v>
      </c>
      <c r="B181" s="206" t="s">
        <v>293</v>
      </c>
      <c r="C181" s="261" t="s">
        <v>318</v>
      </c>
      <c r="D181" s="219">
        <v>7.318906900821993E-4</v>
      </c>
      <c r="E181" s="220">
        <v>4.4686238485090301E-3</v>
      </c>
      <c r="F181" s="219">
        <v>0</v>
      </c>
      <c r="G181" s="220">
        <v>3.3812204713232646E-3</v>
      </c>
      <c r="H181" s="219">
        <v>2.6499003698755842E-2</v>
      </c>
      <c r="I181" s="220">
        <v>4.7414753347543796E-2</v>
      </c>
      <c r="J181" s="219">
        <v>0.91750450794378591</v>
      </c>
      <c r="K181" s="204">
        <f t="shared" si="5"/>
        <v>1</v>
      </c>
    </row>
    <row r="182" spans="1:11" x14ac:dyDescent="0.2">
      <c r="A182" s="200">
        <v>179</v>
      </c>
      <c r="B182" s="206" t="s">
        <v>293</v>
      </c>
      <c r="C182" s="261" t="s">
        <v>319</v>
      </c>
      <c r="D182" s="219">
        <v>5.857043610067262E-2</v>
      </c>
      <c r="E182" s="220">
        <v>0.1093356912032505</v>
      </c>
      <c r="F182" s="219">
        <v>6.1973031862822495E-3</v>
      </c>
      <c r="G182" s="220">
        <v>0.12787233818591381</v>
      </c>
      <c r="H182" s="219">
        <v>1.2205134682792813E-2</v>
      </c>
      <c r="I182" s="220">
        <v>5.8599383164387744E-2</v>
      </c>
      <c r="J182" s="219">
        <v>0.62721971347670025</v>
      </c>
      <c r="K182" s="204">
        <f t="shared" si="5"/>
        <v>1</v>
      </c>
    </row>
    <row r="183" spans="1:11" x14ac:dyDescent="0.2">
      <c r="A183" s="200">
        <v>180</v>
      </c>
      <c r="B183" s="206" t="s">
        <v>293</v>
      </c>
      <c r="C183" s="261" t="s">
        <v>320</v>
      </c>
      <c r="D183" s="264">
        <v>0</v>
      </c>
      <c r="E183" s="265">
        <v>0</v>
      </c>
      <c r="F183" s="264">
        <v>0</v>
      </c>
      <c r="G183" s="265">
        <v>0</v>
      </c>
      <c r="H183" s="264">
        <v>0</v>
      </c>
      <c r="I183" s="265">
        <v>0</v>
      </c>
      <c r="J183" s="264">
        <v>1</v>
      </c>
      <c r="K183" s="204">
        <f t="shared" si="5"/>
        <v>1</v>
      </c>
    </row>
    <row r="184" spans="1:11" x14ac:dyDescent="0.2">
      <c r="A184" s="200">
        <v>181</v>
      </c>
      <c r="B184" s="206" t="s">
        <v>293</v>
      </c>
      <c r="C184" s="261" t="s">
        <v>321</v>
      </c>
      <c r="D184" s="264">
        <v>0.10622499621508268</v>
      </c>
      <c r="E184" s="265">
        <v>0.2043133166309079</v>
      </c>
      <c r="F184" s="264">
        <v>5.8972432550778567E-2</v>
      </c>
      <c r="G184" s="265">
        <v>0.14740108280123271</v>
      </c>
      <c r="H184" s="264">
        <v>0.13795433783959102</v>
      </c>
      <c r="I184" s="265">
        <v>6.3805505023833739E-2</v>
      </c>
      <c r="J184" s="264">
        <v>0.28132832893857335</v>
      </c>
      <c r="K184" s="204">
        <f t="shared" si="5"/>
        <v>1</v>
      </c>
    </row>
    <row r="185" spans="1:11" x14ac:dyDescent="0.2">
      <c r="A185" s="200">
        <v>182</v>
      </c>
      <c r="B185" s="206" t="s">
        <v>293</v>
      </c>
      <c r="C185" s="261" t="s">
        <v>322</v>
      </c>
      <c r="D185" s="264">
        <v>3.6592283618465504E-2</v>
      </c>
      <c r="E185" s="265">
        <v>2.0503843535733073E-2</v>
      </c>
      <c r="F185" s="264">
        <v>0</v>
      </c>
      <c r="G185" s="265">
        <v>6.2321637913843292E-2</v>
      </c>
      <c r="H185" s="264">
        <v>3.1682505853439499E-2</v>
      </c>
      <c r="I185" s="265">
        <v>1.2268512044099719E-2</v>
      </c>
      <c r="J185" s="264">
        <v>0.83663121703441901</v>
      </c>
      <c r="K185" s="204">
        <f t="shared" si="5"/>
        <v>1</v>
      </c>
    </row>
    <row r="186" spans="1:11" x14ac:dyDescent="0.2">
      <c r="A186" s="200">
        <v>183</v>
      </c>
      <c r="B186" s="206" t="s">
        <v>293</v>
      </c>
      <c r="C186" s="261" t="s">
        <v>323</v>
      </c>
      <c r="D186" s="264">
        <v>8.3471107795930213E-2</v>
      </c>
      <c r="E186" s="265">
        <v>5.2344978847160717E-2</v>
      </c>
      <c r="F186" s="264">
        <v>6.7889886965838531E-2</v>
      </c>
      <c r="G186" s="265">
        <v>0.13210639345605346</v>
      </c>
      <c r="H186" s="264">
        <v>0.10404038653270932</v>
      </c>
      <c r="I186" s="265">
        <v>0.45160255658676574</v>
      </c>
      <c r="J186" s="264">
        <v>0.10854468981554206</v>
      </c>
      <c r="K186" s="204">
        <f t="shared" si="5"/>
        <v>1</v>
      </c>
    </row>
    <row r="187" spans="1:11" x14ac:dyDescent="0.2">
      <c r="A187" s="200">
        <v>184</v>
      </c>
      <c r="B187" s="206" t="s">
        <v>293</v>
      </c>
      <c r="C187" s="261" t="s">
        <v>324</v>
      </c>
      <c r="D187" s="264">
        <v>0.26535418548393092</v>
      </c>
      <c r="E187" s="265">
        <v>0.12420318164911619</v>
      </c>
      <c r="F187" s="264">
        <v>9.3977107483132316E-2</v>
      </c>
      <c r="G187" s="265">
        <v>0.39216429556008398</v>
      </c>
      <c r="H187" s="264">
        <v>6.8926862199007816E-2</v>
      </c>
      <c r="I187" s="265">
        <v>5.5374367624728901E-2</v>
      </c>
      <c r="J187" s="264">
        <v>0</v>
      </c>
      <c r="K187" s="204">
        <f t="shared" si="5"/>
        <v>1</v>
      </c>
    </row>
    <row r="188" spans="1:11" x14ac:dyDescent="0.2">
      <c r="A188" s="200">
        <v>185</v>
      </c>
      <c r="B188" s="206" t="s">
        <v>293</v>
      </c>
      <c r="C188" s="261" t="s">
        <v>325</v>
      </c>
      <c r="D188" s="249">
        <v>0.17975509814861299</v>
      </c>
      <c r="E188" s="263">
        <v>0.26255930265407401</v>
      </c>
      <c r="F188" s="263">
        <v>0.12386668668314739</v>
      </c>
      <c r="G188" s="263">
        <v>0.27698118693043505</v>
      </c>
      <c r="H188" s="263">
        <v>9.7677679251289909E-2</v>
      </c>
      <c r="I188" s="263">
        <v>2.2873919803093962E-2</v>
      </c>
      <c r="J188" s="263">
        <v>3.6286126529346791E-2</v>
      </c>
      <c r="K188" s="204">
        <f t="shared" si="5"/>
        <v>1</v>
      </c>
    </row>
    <row r="189" spans="1:11" x14ac:dyDescent="0.2">
      <c r="A189" s="200">
        <v>186</v>
      </c>
      <c r="B189" s="206" t="s">
        <v>293</v>
      </c>
      <c r="C189" s="261" t="s">
        <v>326</v>
      </c>
      <c r="D189" s="264">
        <v>4.7624466748625669E-3</v>
      </c>
      <c r="E189" s="265">
        <v>3.148864440485493E-2</v>
      </c>
      <c r="F189" s="264">
        <v>1.7386441571322761E-3</v>
      </c>
      <c r="G189" s="265">
        <v>1.5953351965651646E-2</v>
      </c>
      <c r="H189" s="264">
        <v>1.5509993755918682E-2</v>
      </c>
      <c r="I189" s="265">
        <v>0.93054691904157993</v>
      </c>
      <c r="J189" s="264">
        <v>0</v>
      </c>
      <c r="K189" s="204">
        <f t="shared" si="5"/>
        <v>1</v>
      </c>
    </row>
    <row r="190" spans="1:11" x14ac:dyDescent="0.2">
      <c r="A190" s="200">
        <v>187</v>
      </c>
      <c r="B190" s="206" t="s">
        <v>293</v>
      </c>
      <c r="C190" s="261" t="s">
        <v>327</v>
      </c>
      <c r="D190" s="264">
        <v>2.0812880079952486E-4</v>
      </c>
      <c r="E190" s="265">
        <v>1.4951838276898568E-4</v>
      </c>
      <c r="F190" s="264">
        <v>5.2718436563853121E-5</v>
      </c>
      <c r="G190" s="265">
        <v>9.6402434232189236E-4</v>
      </c>
      <c r="H190" s="264">
        <v>2.2396128128224097E-4</v>
      </c>
      <c r="I190" s="265">
        <v>6.6748601744209242E-3</v>
      </c>
      <c r="J190" s="264">
        <v>0.9917267885818426</v>
      </c>
      <c r="K190" s="204">
        <f t="shared" si="5"/>
        <v>1</v>
      </c>
    </row>
    <row r="191" spans="1:11" x14ac:dyDescent="0.2">
      <c r="A191" s="200">
        <v>188</v>
      </c>
      <c r="B191" s="206" t="s">
        <v>293</v>
      </c>
      <c r="C191" s="261" t="s">
        <v>328</v>
      </c>
      <c r="D191" s="264">
        <v>0</v>
      </c>
      <c r="E191" s="265">
        <v>0</v>
      </c>
      <c r="F191" s="264">
        <v>0</v>
      </c>
      <c r="G191" s="265">
        <v>0</v>
      </c>
      <c r="H191" s="264">
        <v>0</v>
      </c>
      <c r="I191" s="265">
        <v>1</v>
      </c>
      <c r="J191" s="264">
        <v>0</v>
      </c>
      <c r="K191" s="204">
        <f t="shared" si="5"/>
        <v>1</v>
      </c>
    </row>
    <row r="192" spans="1:11" x14ac:dyDescent="0.2">
      <c r="A192" s="200">
        <v>189</v>
      </c>
      <c r="B192" s="206" t="s">
        <v>293</v>
      </c>
      <c r="C192" s="269" t="s">
        <v>143</v>
      </c>
      <c r="D192" s="264">
        <v>0.1755545068428504</v>
      </c>
      <c r="E192" s="265">
        <v>0.23312883435582821</v>
      </c>
      <c r="F192" s="264">
        <v>0.15384615384615385</v>
      </c>
      <c r="G192" s="265">
        <v>0.22369042000943842</v>
      </c>
      <c r="H192" s="264">
        <v>0.15950920245398773</v>
      </c>
      <c r="I192" s="265">
        <v>5.2855120339782916E-2</v>
      </c>
      <c r="J192" s="264">
        <v>1.4157621519584711E-3</v>
      </c>
      <c r="K192" s="204">
        <f t="shared" si="5"/>
        <v>1</v>
      </c>
    </row>
    <row r="193" spans="1:21" x14ac:dyDescent="0.2">
      <c r="A193" s="200">
        <v>190</v>
      </c>
      <c r="B193" s="206" t="s">
        <v>293</v>
      </c>
      <c r="C193" s="270" t="s">
        <v>329</v>
      </c>
      <c r="D193" s="264"/>
      <c r="E193" s="265"/>
      <c r="F193" s="264"/>
      <c r="G193" s="265"/>
      <c r="H193" s="264"/>
      <c r="I193" s="265"/>
      <c r="J193" s="264"/>
      <c r="K193" s="204">
        <f t="shared" si="5"/>
        <v>0</v>
      </c>
    </row>
    <row r="194" spans="1:21" x14ac:dyDescent="0.2">
      <c r="A194" s="200">
        <v>191</v>
      </c>
      <c r="B194" s="206" t="s">
        <v>293</v>
      </c>
      <c r="C194" s="261" t="s">
        <v>330</v>
      </c>
      <c r="D194" s="264">
        <v>0.11149770000000001</v>
      </c>
      <c r="E194" s="264">
        <v>0.1006384</v>
      </c>
      <c r="F194" s="264">
        <v>4.0859300000000001E-2</v>
      </c>
      <c r="G194" s="265">
        <v>0.1162634</v>
      </c>
      <c r="H194" s="264">
        <v>7.3514099999999999E-2</v>
      </c>
      <c r="I194" s="265">
        <v>0.15967020000000001</v>
      </c>
      <c r="J194" s="264">
        <v>0.39755689999999999</v>
      </c>
      <c r="K194" s="204">
        <f t="shared" si="5"/>
        <v>1</v>
      </c>
    </row>
    <row r="195" spans="1:21" x14ac:dyDescent="0.2">
      <c r="A195" s="200">
        <v>192</v>
      </c>
      <c r="B195" s="206" t="s">
        <v>293</v>
      </c>
      <c r="C195" s="261" t="s">
        <v>331</v>
      </c>
      <c r="D195" s="271">
        <v>0.2781679660990718</v>
      </c>
      <c r="E195" s="272">
        <v>9.2858885460110605E-2</v>
      </c>
      <c r="F195" s="271">
        <v>2.558801473154651E-2</v>
      </c>
      <c r="G195" s="272">
        <v>0.23389534007560359</v>
      </c>
      <c r="H195" s="271">
        <v>7.1059866029649893E-2</v>
      </c>
      <c r="I195" s="272">
        <v>4.1480614164813259E-2</v>
      </c>
      <c r="J195" s="271">
        <v>0.25694931343920435</v>
      </c>
      <c r="K195" s="204">
        <f t="shared" si="5"/>
        <v>1</v>
      </c>
    </row>
    <row r="196" spans="1:21" x14ac:dyDescent="0.2">
      <c r="A196" s="200">
        <v>193</v>
      </c>
      <c r="B196" s="206" t="s">
        <v>293</v>
      </c>
      <c r="C196" s="261" t="s">
        <v>332</v>
      </c>
      <c r="D196" s="271">
        <v>0.2781679660990718</v>
      </c>
      <c r="E196" s="272">
        <v>9.2858885460110605E-2</v>
      </c>
      <c r="F196" s="271">
        <v>2.558801473154651E-2</v>
      </c>
      <c r="G196" s="272">
        <v>0.23389534007560359</v>
      </c>
      <c r="H196" s="271">
        <v>7.1059866029649893E-2</v>
      </c>
      <c r="I196" s="272">
        <v>4.1480614164813259E-2</v>
      </c>
      <c r="J196" s="271">
        <v>0.25694931343920435</v>
      </c>
      <c r="K196" s="204">
        <f t="shared" ref="K196:K259" si="10">SUM(D196:J196)</f>
        <v>1</v>
      </c>
    </row>
    <row r="197" spans="1:21" x14ac:dyDescent="0.2">
      <c r="A197" s="200">
        <v>194</v>
      </c>
      <c r="B197" s="206" t="s">
        <v>293</v>
      </c>
      <c r="C197" s="269" t="s">
        <v>333</v>
      </c>
      <c r="D197" s="271">
        <v>0.2781679660990718</v>
      </c>
      <c r="E197" s="272">
        <v>9.2858885460110605E-2</v>
      </c>
      <c r="F197" s="271">
        <v>2.558801473154651E-2</v>
      </c>
      <c r="G197" s="272">
        <v>0.23389534007560359</v>
      </c>
      <c r="H197" s="271">
        <v>7.1059866029649893E-2</v>
      </c>
      <c r="I197" s="272">
        <v>4.1480614164813259E-2</v>
      </c>
      <c r="J197" s="271">
        <v>0.25694931343920435</v>
      </c>
      <c r="K197" s="204">
        <f t="shared" si="10"/>
        <v>1</v>
      </c>
    </row>
    <row r="198" spans="1:21" x14ac:dyDescent="0.2">
      <c r="A198" s="200">
        <v>195</v>
      </c>
      <c r="B198" s="206" t="s">
        <v>293</v>
      </c>
      <c r="C198" s="269" t="s">
        <v>334</v>
      </c>
      <c r="D198" s="271">
        <v>4.6073842989675366E-2</v>
      </c>
      <c r="E198" s="272">
        <v>7.9753432974124572E-2</v>
      </c>
      <c r="F198" s="271">
        <v>0.14922252142995521</v>
      </c>
      <c r="G198" s="272">
        <v>0.1498458402329208</v>
      </c>
      <c r="H198" s="271">
        <v>0.13578006870462239</v>
      </c>
      <c r="I198" s="272">
        <v>0.37135708231636894</v>
      </c>
      <c r="J198" s="271">
        <v>6.796721135233276E-2</v>
      </c>
      <c r="K198" s="204">
        <f t="shared" si="10"/>
        <v>1.0000000000000002</v>
      </c>
    </row>
    <row r="199" spans="1:21" x14ac:dyDescent="0.2">
      <c r="A199" s="200">
        <v>196</v>
      </c>
      <c r="B199" s="206" t="s">
        <v>293</v>
      </c>
      <c r="C199" s="269" t="s">
        <v>335</v>
      </c>
      <c r="D199" s="271">
        <v>0.2781679660990718</v>
      </c>
      <c r="E199" s="272">
        <v>9.2858885460110605E-2</v>
      </c>
      <c r="F199" s="271">
        <v>2.558801473154651E-2</v>
      </c>
      <c r="G199" s="272">
        <v>0.23389534007560359</v>
      </c>
      <c r="H199" s="271">
        <v>7.1059866029649893E-2</v>
      </c>
      <c r="I199" s="272">
        <v>4.1480614164813259E-2</v>
      </c>
      <c r="J199" s="271">
        <v>0.25694931343920435</v>
      </c>
      <c r="K199" s="204">
        <f t="shared" si="10"/>
        <v>1</v>
      </c>
    </row>
    <row r="200" spans="1:21" x14ac:dyDescent="0.2">
      <c r="A200" s="200">
        <v>197</v>
      </c>
      <c r="B200" s="206" t="s">
        <v>293</v>
      </c>
      <c r="C200" s="273" t="s">
        <v>336</v>
      </c>
      <c r="D200" s="267">
        <v>0.21380923503421986</v>
      </c>
      <c r="E200" s="268">
        <v>0.20263363077189639</v>
      </c>
      <c r="F200" s="267">
        <v>0.11608767218227498</v>
      </c>
      <c r="G200" s="268">
        <v>8.7065754136706225E-2</v>
      </c>
      <c r="H200" s="267">
        <v>0.11608767218227498</v>
      </c>
      <c r="I200" s="268">
        <v>3.5259464610586502E-2</v>
      </c>
      <c r="J200" s="267">
        <v>0.22905657108204105</v>
      </c>
      <c r="K200" s="204">
        <f t="shared" si="10"/>
        <v>1</v>
      </c>
    </row>
    <row r="201" spans="1:21" x14ac:dyDescent="0.2">
      <c r="A201" s="200">
        <v>198</v>
      </c>
      <c r="B201" s="206" t="s">
        <v>293</v>
      </c>
      <c r="C201" s="273" t="s">
        <v>181</v>
      </c>
      <c r="D201" s="267">
        <v>0.21380923503421986</v>
      </c>
      <c r="E201" s="268">
        <v>0.20263363077189639</v>
      </c>
      <c r="F201" s="267">
        <v>0.11608767218227498</v>
      </c>
      <c r="G201" s="268">
        <v>8.7065754136706225E-2</v>
      </c>
      <c r="H201" s="267">
        <v>0.11608767218227498</v>
      </c>
      <c r="I201" s="268">
        <v>3.5259464610586502E-2</v>
      </c>
      <c r="J201" s="267">
        <v>0.22905657108204105</v>
      </c>
      <c r="K201" s="204">
        <f t="shared" si="10"/>
        <v>1</v>
      </c>
    </row>
    <row r="202" spans="1:21" ht="13.5" thickBot="1" x14ac:dyDescent="0.25">
      <c r="A202" s="200">
        <v>199</v>
      </c>
      <c r="B202" s="206" t="s">
        <v>293</v>
      </c>
      <c r="C202" s="245" t="s">
        <v>337</v>
      </c>
      <c r="D202" s="246">
        <v>4.6073842989675359E-2</v>
      </c>
      <c r="E202" s="246">
        <v>7.9753432974124558E-2</v>
      </c>
      <c r="F202" s="246">
        <v>0.14922252142995518</v>
      </c>
      <c r="G202" s="246">
        <v>0.14984584023292077</v>
      </c>
      <c r="H202" s="246">
        <v>0.13578006870462236</v>
      </c>
      <c r="I202" s="246">
        <v>0.37135708231636888</v>
      </c>
      <c r="J202" s="246">
        <v>6.7967211352332746E-2</v>
      </c>
      <c r="K202" s="204">
        <f t="shared" si="10"/>
        <v>0.99999999999999989</v>
      </c>
    </row>
    <row r="203" spans="1:21" ht="13.5" thickBot="1" x14ac:dyDescent="0.25">
      <c r="A203" s="200">
        <v>200</v>
      </c>
      <c r="B203" s="206" t="s">
        <v>36</v>
      </c>
      <c r="C203" s="274" t="s">
        <v>89</v>
      </c>
      <c r="D203" s="275">
        <v>0.19776245963116071</v>
      </c>
      <c r="E203" s="275">
        <v>0.13775968519330412</v>
      </c>
      <c r="F203" s="275">
        <v>5.1990212516967713E-2</v>
      </c>
      <c r="G203" s="275">
        <v>0.22916531416420546</v>
      </c>
      <c r="H203" s="275">
        <v>8.5478053601097864E-2</v>
      </c>
      <c r="I203" s="275">
        <v>8.8462568649574663E-2</v>
      </c>
      <c r="J203" s="275">
        <v>0.20938170624368935</v>
      </c>
      <c r="K203" s="204">
        <f t="shared" si="10"/>
        <v>0.99999999999999989</v>
      </c>
    </row>
    <row r="204" spans="1:21" x14ac:dyDescent="0.2">
      <c r="A204" s="200">
        <v>201</v>
      </c>
      <c r="B204" s="206" t="s">
        <v>36</v>
      </c>
      <c r="C204" s="276" t="s">
        <v>338</v>
      </c>
      <c r="D204" s="275">
        <v>0.19776245963116071</v>
      </c>
      <c r="E204" s="275">
        <v>0.13775968519330412</v>
      </c>
      <c r="F204" s="275">
        <v>5.1990212516967713E-2</v>
      </c>
      <c r="G204" s="275">
        <v>0.22916531416420546</v>
      </c>
      <c r="H204" s="275">
        <v>8.5478053601097864E-2</v>
      </c>
      <c r="I204" s="275">
        <v>8.8462568649574663E-2</v>
      </c>
      <c r="J204" s="275">
        <v>0.20938170624368935</v>
      </c>
      <c r="K204" s="204">
        <f t="shared" si="10"/>
        <v>0.99999999999999989</v>
      </c>
      <c r="N204" s="199" t="s">
        <v>165</v>
      </c>
      <c r="O204" s="199" t="s">
        <v>0</v>
      </c>
      <c r="P204" s="199" t="s">
        <v>166</v>
      </c>
      <c r="Q204" s="199" t="s">
        <v>167</v>
      </c>
      <c r="R204" s="199" t="s">
        <v>168</v>
      </c>
      <c r="S204" s="199" t="s">
        <v>169</v>
      </c>
      <c r="T204" s="199" t="s">
        <v>170</v>
      </c>
      <c r="U204" s="199" t="s">
        <v>6</v>
      </c>
    </row>
    <row r="205" spans="1:21" ht="15" x14ac:dyDescent="0.25">
      <c r="A205" s="200">
        <v>202</v>
      </c>
      <c r="B205" s="206" t="s">
        <v>36</v>
      </c>
      <c r="C205" s="276" t="s">
        <v>339</v>
      </c>
      <c r="D205" s="122">
        <v>9.7076440033468922E-2</v>
      </c>
      <c r="E205" s="356">
        <v>0.2414898640532189</v>
      </c>
      <c r="F205" s="356">
        <v>0.12379358622803602</v>
      </c>
      <c r="G205" s="356">
        <v>3.7577976787149261E-2</v>
      </c>
      <c r="H205" s="356">
        <v>0.12317225724676702</v>
      </c>
      <c r="I205" s="356">
        <v>3.7577976787149261E-2</v>
      </c>
      <c r="J205" s="356">
        <v>0.33931189886421065</v>
      </c>
      <c r="K205" s="204">
        <f t="shared" si="10"/>
        <v>1</v>
      </c>
      <c r="M205" s="277" t="s">
        <v>333</v>
      </c>
      <c r="N205" s="278">
        <v>0.24637945722283072</v>
      </c>
      <c r="O205" s="279">
        <v>0.14153584033102107</v>
      </c>
      <c r="P205" s="279">
        <v>6.6630156991602768E-2</v>
      </c>
      <c r="Q205" s="279">
        <v>0.11105026165267129</v>
      </c>
      <c r="R205" s="279">
        <v>6.6630156991602768E-2</v>
      </c>
      <c r="S205" s="279">
        <v>4.4420104661068514E-2</v>
      </c>
      <c r="T205" s="279">
        <v>0.32335402214920289</v>
      </c>
      <c r="U205" s="280">
        <f>SUM(N205:T205)</f>
        <v>1</v>
      </c>
    </row>
    <row r="206" spans="1:21" x14ac:dyDescent="0.2">
      <c r="A206" s="200">
        <v>203</v>
      </c>
      <c r="B206" s="206" t="s">
        <v>36</v>
      </c>
      <c r="C206" s="276" t="s">
        <v>340</v>
      </c>
      <c r="D206" s="281">
        <v>0.15590000000000001</v>
      </c>
      <c r="E206" s="281">
        <v>0.1691</v>
      </c>
      <c r="F206" s="281">
        <v>9.5600000000000004E-2</v>
      </c>
      <c r="G206" s="281">
        <v>0.18779999999999999</v>
      </c>
      <c r="H206" s="281">
        <v>0.1242</v>
      </c>
      <c r="I206" s="281">
        <v>4.2900000000000001E-2</v>
      </c>
      <c r="J206" s="281">
        <v>0.22450000000000001</v>
      </c>
      <c r="K206" s="204">
        <f t="shared" si="10"/>
        <v>1</v>
      </c>
      <c r="M206" s="245" t="s">
        <v>337</v>
      </c>
      <c r="N206" s="246" t="e">
        <f>#REF!/#REF!</f>
        <v>#REF!</v>
      </c>
      <c r="O206" s="246" t="e">
        <f>#REF!/#REF!</f>
        <v>#REF!</v>
      </c>
      <c r="P206" s="246" t="e">
        <f>#REF!/#REF!</f>
        <v>#REF!</v>
      </c>
      <c r="Q206" s="246" t="e">
        <f>#REF!/#REF!</f>
        <v>#REF!</v>
      </c>
      <c r="R206" s="246" t="e">
        <f>#REF!/#REF!</f>
        <v>#REF!</v>
      </c>
      <c r="S206" s="246" t="e">
        <f>#REF!/#REF!</f>
        <v>#REF!</v>
      </c>
      <c r="T206" s="246" t="e">
        <f>#REF!/#REF!</f>
        <v>#REF!</v>
      </c>
      <c r="U206" s="282" t="e">
        <f>SUM(N206:T206)</f>
        <v>#REF!</v>
      </c>
    </row>
    <row r="207" spans="1:21" x14ac:dyDescent="0.2">
      <c r="A207" s="200">
        <v>204</v>
      </c>
      <c r="B207" s="206" t="s">
        <v>36</v>
      </c>
      <c r="C207" s="283" t="s">
        <v>88</v>
      </c>
      <c r="D207" s="267">
        <v>0.68262755603326064</v>
      </c>
      <c r="E207" s="267">
        <v>1.9402000851703575E-2</v>
      </c>
      <c r="F207" s="267"/>
      <c r="G207" s="267">
        <v>0.1935488827314143</v>
      </c>
      <c r="H207" s="267">
        <v>4.5058200823451565E-4</v>
      </c>
      <c r="I207" s="267">
        <v>5.5708984100281592E-2</v>
      </c>
      <c r="J207" s="267">
        <v>4.8261994275105261E-2</v>
      </c>
      <c r="K207" s="204">
        <f t="shared" si="10"/>
        <v>1</v>
      </c>
    </row>
    <row r="208" spans="1:21" x14ac:dyDescent="0.2">
      <c r="A208" s="200">
        <v>205</v>
      </c>
      <c r="B208" s="206" t="s">
        <v>36</v>
      </c>
      <c r="C208" s="276" t="s">
        <v>140</v>
      </c>
      <c r="D208" s="284">
        <v>0.18233134117193928</v>
      </c>
      <c r="E208" s="284">
        <v>0.12713185820886161</v>
      </c>
      <c r="F208" s="284">
        <v>0.16460595798972666</v>
      </c>
      <c r="G208" s="284">
        <v>0.39109427367818234</v>
      </c>
      <c r="H208" s="284">
        <v>0.10030209344649703</v>
      </c>
      <c r="I208" s="284">
        <v>1.4134679000923094E-2</v>
      </c>
      <c r="J208" s="284">
        <v>2.0399796503869954E-2</v>
      </c>
      <c r="K208" s="204">
        <f t="shared" si="10"/>
        <v>1</v>
      </c>
    </row>
    <row r="209" spans="1:11" ht="25.5" x14ac:dyDescent="0.2">
      <c r="A209" s="200">
        <v>206</v>
      </c>
      <c r="B209" s="206" t="s">
        <v>36</v>
      </c>
      <c r="C209" s="276" t="s">
        <v>341</v>
      </c>
      <c r="D209" s="285">
        <v>0.14960000000000001</v>
      </c>
      <c r="E209" s="285">
        <v>0.16650000000000001</v>
      </c>
      <c r="F209" s="285">
        <v>9.6799999999999997E-2</v>
      </c>
      <c r="G209" s="285">
        <v>0.188</v>
      </c>
      <c r="H209" s="285">
        <v>0.12640000000000001</v>
      </c>
      <c r="I209" s="285">
        <v>4.4499999999999998E-2</v>
      </c>
      <c r="J209" s="285">
        <v>0.22819999999999999</v>
      </c>
      <c r="K209" s="204">
        <f t="shared" si="10"/>
        <v>1</v>
      </c>
    </row>
    <row r="210" spans="1:11" x14ac:dyDescent="0.2">
      <c r="A210" s="200">
        <v>207</v>
      </c>
      <c r="B210" s="206" t="s">
        <v>36</v>
      </c>
      <c r="C210" s="283" t="s">
        <v>39</v>
      </c>
      <c r="D210" s="284">
        <v>0.35245930227415323</v>
      </c>
      <c r="E210" s="284">
        <v>7.5055231532228497E-2</v>
      </c>
      <c r="F210" s="284">
        <v>0.15530723003204797</v>
      </c>
      <c r="G210" s="284">
        <v>0.22690917535795579</v>
      </c>
      <c r="H210" s="284">
        <v>7.1969632790216134E-2</v>
      </c>
      <c r="I210" s="284">
        <v>1.7293058025823822E-2</v>
      </c>
      <c r="J210" s="284">
        <v>0.10100636998757455</v>
      </c>
      <c r="K210" s="204">
        <f t="shared" si="10"/>
        <v>0.99999999999999989</v>
      </c>
    </row>
    <row r="211" spans="1:11" x14ac:dyDescent="0.2">
      <c r="A211" s="200">
        <v>208</v>
      </c>
      <c r="B211" s="206" t="s">
        <v>36</v>
      </c>
      <c r="C211" s="283" t="s">
        <v>37</v>
      </c>
      <c r="D211" s="267">
        <v>3.3860792760185346E-2</v>
      </c>
      <c r="E211" s="267">
        <v>1.6409391295270196E-2</v>
      </c>
      <c r="F211" s="267">
        <v>0.12873518497725658</v>
      </c>
      <c r="G211" s="267">
        <v>0.2099142292649406</v>
      </c>
      <c r="H211" s="267">
        <v>0</v>
      </c>
      <c r="I211" s="267">
        <v>6.7238988407270842E-2</v>
      </c>
      <c r="J211" s="267">
        <v>0.54384141329507651</v>
      </c>
      <c r="K211" s="204">
        <f t="shared" si="10"/>
        <v>1</v>
      </c>
    </row>
    <row r="212" spans="1:11" ht="13.5" thickBot="1" x14ac:dyDescent="0.25">
      <c r="A212" s="200">
        <v>209</v>
      </c>
      <c r="B212" s="206" t="s">
        <v>36</v>
      </c>
      <c r="C212" s="286" t="s">
        <v>342</v>
      </c>
      <c r="D212" s="287">
        <v>0</v>
      </c>
      <c r="E212" s="287">
        <v>0</v>
      </c>
      <c r="F212" s="287">
        <v>0</v>
      </c>
      <c r="G212" s="287">
        <v>0</v>
      </c>
      <c r="H212" s="287">
        <v>0</v>
      </c>
      <c r="I212" s="287">
        <v>0.17129375397437763</v>
      </c>
      <c r="J212" s="287">
        <v>0.82870624602562237</v>
      </c>
      <c r="K212" s="204">
        <f t="shared" si="10"/>
        <v>1</v>
      </c>
    </row>
    <row r="213" spans="1:11" x14ac:dyDescent="0.2">
      <c r="A213" s="200">
        <v>210</v>
      </c>
      <c r="B213" s="206" t="s">
        <v>36</v>
      </c>
      <c r="C213" s="288" t="s">
        <v>94</v>
      </c>
      <c r="D213" s="267">
        <v>0.19832842949127968</v>
      </c>
      <c r="E213" s="267">
        <v>0.23077907125495714</v>
      </c>
      <c r="F213" s="267">
        <v>8.9377851690759458E-2</v>
      </c>
      <c r="G213" s="267">
        <v>0.10754338834164855</v>
      </c>
      <c r="H213" s="267">
        <v>4.9294273165323442E-2</v>
      </c>
      <c r="I213" s="267">
        <v>5.2876209969724107E-2</v>
      </c>
      <c r="J213" s="267">
        <v>0.27180077608630759</v>
      </c>
      <c r="K213" s="204">
        <f t="shared" si="10"/>
        <v>1</v>
      </c>
    </row>
    <row r="214" spans="1:11" x14ac:dyDescent="0.2">
      <c r="A214" s="200">
        <v>211</v>
      </c>
      <c r="B214" s="206" t="s">
        <v>36</v>
      </c>
      <c r="C214" s="289" t="s">
        <v>179</v>
      </c>
      <c r="D214" s="267">
        <v>0.19832842949127968</v>
      </c>
      <c r="E214" s="267">
        <v>0.23077907125495714</v>
      </c>
      <c r="F214" s="267">
        <v>8.9377851690759458E-2</v>
      </c>
      <c r="G214" s="267">
        <v>0.10754338834164855</v>
      </c>
      <c r="H214" s="267">
        <v>4.9294273165323442E-2</v>
      </c>
      <c r="I214" s="267">
        <v>5.2876209969724107E-2</v>
      </c>
      <c r="J214" s="267">
        <v>0.27180077608630759</v>
      </c>
      <c r="K214" s="204">
        <f t="shared" si="10"/>
        <v>1</v>
      </c>
    </row>
    <row r="215" spans="1:11" x14ac:dyDescent="0.2">
      <c r="A215" s="200">
        <v>212</v>
      </c>
      <c r="B215" s="206" t="s">
        <v>36</v>
      </c>
      <c r="C215" s="289" t="s">
        <v>97</v>
      </c>
      <c r="D215" s="267">
        <v>0.19832842949127968</v>
      </c>
      <c r="E215" s="267">
        <v>0.23077907125495714</v>
      </c>
      <c r="F215" s="267">
        <v>8.9377851690759458E-2</v>
      </c>
      <c r="G215" s="267">
        <v>0.10754338834164855</v>
      </c>
      <c r="H215" s="267">
        <v>4.9294273165323442E-2</v>
      </c>
      <c r="I215" s="267">
        <v>5.2876209969724107E-2</v>
      </c>
      <c r="J215" s="267">
        <v>0.27180077608630759</v>
      </c>
      <c r="K215" s="204">
        <f t="shared" si="10"/>
        <v>1</v>
      </c>
    </row>
    <row r="216" spans="1:11" x14ac:dyDescent="0.2">
      <c r="A216" s="200">
        <v>213</v>
      </c>
      <c r="B216" s="206" t="s">
        <v>36</v>
      </c>
      <c r="C216" s="289" t="s">
        <v>95</v>
      </c>
      <c r="D216" s="267">
        <v>0.27628342290053537</v>
      </c>
      <c r="E216" s="267">
        <v>0.18884494011353695</v>
      </c>
      <c r="F216" s="267">
        <v>3.2171825171355035E-2</v>
      </c>
      <c r="G216" s="267">
        <v>0.10887834113871912</v>
      </c>
      <c r="H216" s="267">
        <v>0.1418975342441916</v>
      </c>
      <c r="I216" s="267">
        <v>4.7979001474685742E-2</v>
      </c>
      <c r="J216" s="267">
        <v>0.20394493495697597</v>
      </c>
      <c r="K216" s="204">
        <f t="shared" si="10"/>
        <v>0.99999999999999978</v>
      </c>
    </row>
    <row r="217" spans="1:11" x14ac:dyDescent="0.2">
      <c r="A217" s="200">
        <v>214</v>
      </c>
      <c r="B217" s="206" t="s">
        <v>36</v>
      </c>
      <c r="C217" s="289" t="s">
        <v>98</v>
      </c>
      <c r="D217" s="267">
        <v>0.25949467667776188</v>
      </c>
      <c r="E217" s="267">
        <v>0.446862226616911</v>
      </c>
      <c r="F217" s="267">
        <v>0.14732128132867672</v>
      </c>
      <c r="G217" s="267">
        <v>0</v>
      </c>
      <c r="H217" s="267">
        <v>0</v>
      </c>
      <c r="I217" s="267">
        <v>0.14632181537665043</v>
      </c>
      <c r="J217" s="267">
        <v>0</v>
      </c>
      <c r="K217" s="204">
        <f t="shared" si="10"/>
        <v>1</v>
      </c>
    </row>
    <row r="218" spans="1:11" x14ac:dyDescent="0.2">
      <c r="A218" s="200">
        <v>215</v>
      </c>
      <c r="B218" s="206" t="s">
        <v>36</v>
      </c>
      <c r="C218" s="289" t="s">
        <v>174</v>
      </c>
      <c r="D218" s="267">
        <v>1.7257592517461017E-2</v>
      </c>
      <c r="E218" s="267">
        <v>9.373294378453316E-2</v>
      </c>
      <c r="F218" s="267">
        <v>0</v>
      </c>
      <c r="G218" s="267">
        <v>0.29367380420010442</v>
      </c>
      <c r="H218" s="267">
        <v>0.59533565949790146</v>
      </c>
      <c r="I218" s="267">
        <v>0</v>
      </c>
      <c r="J218" s="267">
        <v>0</v>
      </c>
      <c r="K218" s="204">
        <f t="shared" si="10"/>
        <v>1</v>
      </c>
    </row>
    <row r="219" spans="1:11" x14ac:dyDescent="0.2">
      <c r="A219" s="200">
        <v>216</v>
      </c>
      <c r="B219" s="206" t="s">
        <v>36</v>
      </c>
      <c r="C219" s="289" t="s">
        <v>343</v>
      </c>
      <c r="D219" s="267">
        <v>0.15640000000000001</v>
      </c>
      <c r="E219" s="267">
        <v>0.1696</v>
      </c>
      <c r="F219" s="267">
        <v>9.5799999999999996E-2</v>
      </c>
      <c r="G219" s="267">
        <v>0.18759999999999999</v>
      </c>
      <c r="H219" s="267">
        <v>0.1237</v>
      </c>
      <c r="I219" s="267">
        <v>4.2799999999999998E-2</v>
      </c>
      <c r="J219" s="267">
        <v>0.22409999999999999</v>
      </c>
      <c r="K219" s="204">
        <f t="shared" si="10"/>
        <v>0.99999999999999989</v>
      </c>
    </row>
    <row r="220" spans="1:11" x14ac:dyDescent="0.2">
      <c r="A220" s="200">
        <v>217</v>
      </c>
      <c r="B220" s="206" t="s">
        <v>36</v>
      </c>
      <c r="C220" s="289" t="s">
        <v>92</v>
      </c>
      <c r="D220" s="267">
        <v>0.31080375782881003</v>
      </c>
      <c r="E220" s="267">
        <v>0.125</v>
      </c>
      <c r="F220" s="267">
        <v>0.22546972860125261</v>
      </c>
      <c r="G220" s="267">
        <v>0.17379958246346555</v>
      </c>
      <c r="H220" s="267">
        <v>4.6711899791231734E-2</v>
      </c>
      <c r="I220" s="267">
        <v>2.896659707724426E-2</v>
      </c>
      <c r="J220" s="267">
        <v>8.9248434237995819E-2</v>
      </c>
      <c r="K220" s="204">
        <f t="shared" si="10"/>
        <v>0.99999999999999989</v>
      </c>
    </row>
    <row r="221" spans="1:11" x14ac:dyDescent="0.2">
      <c r="A221" s="200">
        <v>218</v>
      </c>
      <c r="B221" s="206" t="s">
        <v>36</v>
      </c>
      <c r="C221" s="289" t="s">
        <v>90</v>
      </c>
      <c r="D221" s="267">
        <v>0</v>
      </c>
      <c r="E221" s="267">
        <v>0</v>
      </c>
      <c r="F221" s="267">
        <v>0</v>
      </c>
      <c r="G221" s="267">
        <v>0</v>
      </c>
      <c r="H221" s="267">
        <v>0</v>
      </c>
      <c r="I221" s="267">
        <v>0</v>
      </c>
      <c r="J221" s="267">
        <v>1</v>
      </c>
      <c r="K221" s="204">
        <f t="shared" si="10"/>
        <v>1</v>
      </c>
    </row>
    <row r="222" spans="1:11" x14ac:dyDescent="0.2">
      <c r="A222" s="200">
        <v>219</v>
      </c>
      <c r="B222" s="206" t="s">
        <v>36</v>
      </c>
      <c r="C222" s="289" t="s">
        <v>91</v>
      </c>
      <c r="D222" s="267">
        <v>0.18658892128279883</v>
      </c>
      <c r="E222" s="267">
        <v>0.10262390670553936</v>
      </c>
      <c r="F222" s="267">
        <v>8.1049562682215748E-2</v>
      </c>
      <c r="G222" s="267">
        <v>0.24606413994169096</v>
      </c>
      <c r="H222" s="267">
        <v>0.3836734693877551</v>
      </c>
      <c r="I222" s="267">
        <v>0</v>
      </c>
      <c r="J222" s="267">
        <v>0</v>
      </c>
      <c r="K222" s="204">
        <f t="shared" si="10"/>
        <v>1</v>
      </c>
    </row>
    <row r="223" spans="1:11" x14ac:dyDescent="0.2">
      <c r="A223" s="200">
        <v>220</v>
      </c>
      <c r="B223" s="206" t="s">
        <v>36</v>
      </c>
      <c r="C223" s="289" t="s">
        <v>93</v>
      </c>
      <c r="D223" s="267">
        <v>0</v>
      </c>
      <c r="E223" s="267">
        <v>0.24674384949348771</v>
      </c>
      <c r="F223" s="267">
        <v>0.53039073806078152</v>
      </c>
      <c r="G223" s="267">
        <v>0</v>
      </c>
      <c r="H223" s="267">
        <v>0</v>
      </c>
      <c r="I223" s="267">
        <v>0</v>
      </c>
      <c r="J223" s="267">
        <v>0.22286541244573083</v>
      </c>
      <c r="K223" s="204">
        <f t="shared" si="10"/>
        <v>1</v>
      </c>
    </row>
    <row r="224" spans="1:11" x14ac:dyDescent="0.2">
      <c r="A224" s="200">
        <v>221</v>
      </c>
      <c r="B224" s="206" t="s">
        <v>36</v>
      </c>
      <c r="C224" s="283" t="s">
        <v>344</v>
      </c>
      <c r="D224" s="290">
        <v>0.26139273273162794</v>
      </c>
      <c r="E224" s="290">
        <v>4.8329169830875429E-2</v>
      </c>
      <c r="F224" s="290">
        <v>0.11396703834743402</v>
      </c>
      <c r="G224" s="290">
        <v>2.2378192024586175E-2</v>
      </c>
      <c r="H224" s="290">
        <v>6.4648110293248948E-2</v>
      </c>
      <c r="I224" s="290">
        <v>0</v>
      </c>
      <c r="J224" s="290">
        <v>0.48928475677222755</v>
      </c>
      <c r="K224" s="204">
        <f t="shared" si="10"/>
        <v>1</v>
      </c>
    </row>
    <row r="225" spans="1:11" x14ac:dyDescent="0.2">
      <c r="A225" s="200">
        <v>222</v>
      </c>
      <c r="B225" s="206" t="s">
        <v>36</v>
      </c>
      <c r="C225" s="283" t="s">
        <v>96</v>
      </c>
      <c r="D225" s="290">
        <v>3.4013605442176869E-3</v>
      </c>
      <c r="E225" s="290">
        <v>0</v>
      </c>
      <c r="F225" s="290">
        <v>3.4013605442176869E-3</v>
      </c>
      <c r="G225" s="290">
        <v>0</v>
      </c>
      <c r="H225" s="290">
        <v>3.4013605442176869E-3</v>
      </c>
      <c r="I225" s="290">
        <v>0.11564625850340136</v>
      </c>
      <c r="J225" s="290">
        <v>0.87414965986394555</v>
      </c>
      <c r="K225" s="204">
        <f t="shared" si="10"/>
        <v>1</v>
      </c>
    </row>
    <row r="226" spans="1:11" ht="25.5" x14ac:dyDescent="0.2">
      <c r="A226" s="200">
        <v>223</v>
      </c>
      <c r="B226" s="206" t="s">
        <v>36</v>
      </c>
      <c r="C226" s="283" t="s">
        <v>345</v>
      </c>
      <c r="D226" s="290">
        <v>3.4013605442176869E-3</v>
      </c>
      <c r="E226" s="290">
        <v>0</v>
      </c>
      <c r="F226" s="290">
        <v>3.4013605442176869E-3</v>
      </c>
      <c r="G226" s="290">
        <v>0</v>
      </c>
      <c r="H226" s="290">
        <v>3.4013605442176869E-3</v>
      </c>
      <c r="I226" s="290">
        <v>0.11564625850340136</v>
      </c>
      <c r="J226" s="290">
        <v>0.87414965986394555</v>
      </c>
      <c r="K226" s="204">
        <f t="shared" si="10"/>
        <v>1</v>
      </c>
    </row>
    <row r="227" spans="1:11" ht="13.5" thickBot="1" x14ac:dyDescent="0.25">
      <c r="A227" s="200">
        <v>224</v>
      </c>
      <c r="B227" s="206" t="s">
        <v>36</v>
      </c>
      <c r="C227" s="291" t="s">
        <v>175</v>
      </c>
      <c r="D227" s="237">
        <v>0.25930851063829785</v>
      </c>
      <c r="E227" s="237">
        <v>0.28324468085106386</v>
      </c>
      <c r="F227" s="237">
        <v>7.9787234042553196E-2</v>
      </c>
      <c r="G227" s="237">
        <v>0.18617021276595744</v>
      </c>
      <c r="H227" s="237">
        <v>0.17287234042553193</v>
      </c>
      <c r="I227" s="237">
        <v>1.7287234042553192E-2</v>
      </c>
      <c r="J227" s="237">
        <v>1.3297872340425532E-3</v>
      </c>
      <c r="K227" s="204">
        <f t="shared" si="10"/>
        <v>1</v>
      </c>
    </row>
    <row r="228" spans="1:11" x14ac:dyDescent="0.2">
      <c r="A228" s="200">
        <v>225</v>
      </c>
      <c r="B228" s="206" t="s">
        <v>17</v>
      </c>
      <c r="C228" s="292" t="s">
        <v>346</v>
      </c>
      <c r="D228" s="293">
        <v>0.14960000000000001</v>
      </c>
      <c r="E228" s="294">
        <v>0.16650000000000001</v>
      </c>
      <c r="F228" s="293">
        <v>9.6799999999999997E-2</v>
      </c>
      <c r="G228" s="294">
        <v>0.188</v>
      </c>
      <c r="H228" s="293">
        <v>0.12640000000000001</v>
      </c>
      <c r="I228" s="294">
        <v>4.4499999999999998E-2</v>
      </c>
      <c r="J228" s="293">
        <v>0.22819999999999999</v>
      </c>
      <c r="K228" s="204">
        <f t="shared" si="10"/>
        <v>1</v>
      </c>
    </row>
    <row r="229" spans="1:11" x14ac:dyDescent="0.2">
      <c r="A229" s="200">
        <v>226</v>
      </c>
      <c r="B229" s="206" t="s">
        <v>17</v>
      </c>
      <c r="C229" s="292" t="s">
        <v>347</v>
      </c>
      <c r="D229" s="278">
        <v>0.14960000000000001</v>
      </c>
      <c r="E229" s="279">
        <v>0.16650000000000001</v>
      </c>
      <c r="F229" s="279">
        <v>9.6799999999999997E-2</v>
      </c>
      <c r="G229" s="279">
        <v>0.188</v>
      </c>
      <c r="H229" s="279">
        <v>0.12640000000000001</v>
      </c>
      <c r="I229" s="279">
        <v>4.4499999999999998E-2</v>
      </c>
      <c r="J229" s="279">
        <v>0.22819999999999999</v>
      </c>
      <c r="K229" s="204">
        <f t="shared" si="10"/>
        <v>1</v>
      </c>
    </row>
    <row r="230" spans="1:11" x14ac:dyDescent="0.2">
      <c r="A230" s="200">
        <v>227</v>
      </c>
      <c r="B230" s="206" t="s">
        <v>17</v>
      </c>
      <c r="C230" s="292" t="s">
        <v>348</v>
      </c>
      <c r="D230" s="278">
        <v>0.14960000000000001</v>
      </c>
      <c r="E230" s="279">
        <v>0.16650000000000001</v>
      </c>
      <c r="F230" s="279">
        <v>9.6799999999999997E-2</v>
      </c>
      <c r="G230" s="279">
        <v>0.188</v>
      </c>
      <c r="H230" s="279">
        <v>0.12640000000000001</v>
      </c>
      <c r="I230" s="279">
        <v>4.4499999999999998E-2</v>
      </c>
      <c r="J230" s="279">
        <v>0.22819999999999999</v>
      </c>
      <c r="K230" s="204">
        <f t="shared" si="10"/>
        <v>1</v>
      </c>
    </row>
    <row r="231" spans="1:11" x14ac:dyDescent="0.2">
      <c r="A231" s="200">
        <v>228</v>
      </c>
      <c r="B231" s="206" t="s">
        <v>17</v>
      </c>
      <c r="C231" s="292" t="s">
        <v>349</v>
      </c>
      <c r="D231" s="278">
        <v>0.14960000000000001</v>
      </c>
      <c r="E231" s="279">
        <v>0.16650000000000001</v>
      </c>
      <c r="F231" s="279">
        <v>9.6799999999999997E-2</v>
      </c>
      <c r="G231" s="279">
        <v>0.188</v>
      </c>
      <c r="H231" s="279">
        <v>0.12640000000000001</v>
      </c>
      <c r="I231" s="279">
        <v>4.4499999999999998E-2</v>
      </c>
      <c r="J231" s="279">
        <v>0.22819999999999999</v>
      </c>
      <c r="K231" s="204">
        <f t="shared" si="10"/>
        <v>1</v>
      </c>
    </row>
    <row r="232" spans="1:11" x14ac:dyDescent="0.2">
      <c r="A232" s="200">
        <v>229</v>
      </c>
      <c r="B232" s="206" t="s">
        <v>17</v>
      </c>
      <c r="C232" s="292" t="s">
        <v>350</v>
      </c>
      <c r="D232" s="278">
        <v>0.14960000000000001</v>
      </c>
      <c r="E232" s="279">
        <v>0.16650000000000001</v>
      </c>
      <c r="F232" s="279">
        <v>9.6799999999999997E-2</v>
      </c>
      <c r="G232" s="279">
        <v>0.188</v>
      </c>
      <c r="H232" s="279">
        <v>0.12640000000000001</v>
      </c>
      <c r="I232" s="279">
        <v>4.4499999999999998E-2</v>
      </c>
      <c r="J232" s="279">
        <v>0.22819999999999999</v>
      </c>
      <c r="K232" s="204">
        <f t="shared" si="10"/>
        <v>1</v>
      </c>
    </row>
    <row r="233" spans="1:11" x14ac:dyDescent="0.2">
      <c r="A233" s="200">
        <v>230</v>
      </c>
      <c r="B233" s="206" t="s">
        <v>17</v>
      </c>
      <c r="C233" s="292" t="s">
        <v>178</v>
      </c>
      <c r="D233" s="278">
        <v>0.14960000000000001</v>
      </c>
      <c r="E233" s="279">
        <v>0.16650000000000001</v>
      </c>
      <c r="F233" s="279">
        <v>9.6799999999999997E-2</v>
      </c>
      <c r="G233" s="279">
        <v>0.188</v>
      </c>
      <c r="H233" s="279">
        <v>0.12640000000000001</v>
      </c>
      <c r="I233" s="279">
        <v>4.4499999999999998E-2</v>
      </c>
      <c r="J233" s="279">
        <v>0.22819999999999999</v>
      </c>
      <c r="K233" s="204">
        <f t="shared" si="10"/>
        <v>1</v>
      </c>
    </row>
    <row r="234" spans="1:11" x14ac:dyDescent="0.2">
      <c r="A234" s="200">
        <v>231</v>
      </c>
      <c r="B234" s="206" t="s">
        <v>17</v>
      </c>
      <c r="C234" s="292" t="s">
        <v>351</v>
      </c>
      <c r="D234" s="278">
        <v>0.14960000000000001</v>
      </c>
      <c r="E234" s="279">
        <v>0.16650000000000001</v>
      </c>
      <c r="F234" s="279">
        <v>9.6799999999999997E-2</v>
      </c>
      <c r="G234" s="279">
        <v>0.188</v>
      </c>
      <c r="H234" s="279">
        <v>0.12640000000000001</v>
      </c>
      <c r="I234" s="279">
        <v>4.4499999999999998E-2</v>
      </c>
      <c r="J234" s="279">
        <v>0.22819999999999999</v>
      </c>
      <c r="K234" s="204">
        <f t="shared" si="10"/>
        <v>1</v>
      </c>
    </row>
    <row r="235" spans="1:11" x14ac:dyDescent="0.2">
      <c r="A235" s="200">
        <v>232</v>
      </c>
      <c r="B235" s="206" t="s">
        <v>17</v>
      </c>
      <c r="C235" s="292" t="s">
        <v>352</v>
      </c>
      <c r="D235" s="278">
        <v>0.14960000000000001</v>
      </c>
      <c r="E235" s="279">
        <v>0.16650000000000001</v>
      </c>
      <c r="F235" s="279">
        <v>9.6799999999999997E-2</v>
      </c>
      <c r="G235" s="279">
        <v>0.188</v>
      </c>
      <c r="H235" s="279">
        <v>0.12640000000000001</v>
      </c>
      <c r="I235" s="279">
        <v>4.4499999999999998E-2</v>
      </c>
      <c r="J235" s="279">
        <v>0.22819999999999999</v>
      </c>
      <c r="K235" s="204">
        <f t="shared" si="10"/>
        <v>1</v>
      </c>
    </row>
    <row r="236" spans="1:11" x14ac:dyDescent="0.2">
      <c r="A236" s="200">
        <v>233</v>
      </c>
      <c r="B236" s="206" t="s">
        <v>17</v>
      </c>
      <c r="C236" s="292" t="s">
        <v>353</v>
      </c>
      <c r="D236" s="278">
        <v>0.14960000000000001</v>
      </c>
      <c r="E236" s="279">
        <v>0.16650000000000001</v>
      </c>
      <c r="F236" s="279">
        <v>9.6799999999999997E-2</v>
      </c>
      <c r="G236" s="279">
        <v>0.188</v>
      </c>
      <c r="H236" s="279">
        <v>0.12640000000000001</v>
      </c>
      <c r="I236" s="279">
        <v>4.4499999999999998E-2</v>
      </c>
      <c r="J236" s="279">
        <v>0.22819999999999999</v>
      </c>
      <c r="K236" s="204">
        <f t="shared" si="10"/>
        <v>1</v>
      </c>
    </row>
    <row r="237" spans="1:11" x14ac:dyDescent="0.2">
      <c r="A237" s="200">
        <v>234</v>
      </c>
      <c r="B237" s="206" t="s">
        <v>17</v>
      </c>
      <c r="C237" s="292" t="s">
        <v>354</v>
      </c>
      <c r="D237" s="278">
        <v>0.14960000000000001</v>
      </c>
      <c r="E237" s="279">
        <v>0.16650000000000001</v>
      </c>
      <c r="F237" s="279">
        <v>9.6799999999999997E-2</v>
      </c>
      <c r="G237" s="279">
        <v>0.188</v>
      </c>
      <c r="H237" s="279">
        <v>0.12640000000000001</v>
      </c>
      <c r="I237" s="279">
        <v>4.4499999999999998E-2</v>
      </c>
      <c r="J237" s="279">
        <v>0.22819999999999999</v>
      </c>
      <c r="K237" s="204">
        <f t="shared" si="10"/>
        <v>1</v>
      </c>
    </row>
    <row r="238" spans="1:11" x14ac:dyDescent="0.2">
      <c r="A238" s="200">
        <v>235</v>
      </c>
      <c r="B238" s="206" t="s">
        <v>17</v>
      </c>
      <c r="C238" s="292" t="s">
        <v>109</v>
      </c>
      <c r="D238" s="278">
        <v>0.14960000000000001</v>
      </c>
      <c r="E238" s="279">
        <v>0.16650000000000001</v>
      </c>
      <c r="F238" s="279">
        <v>9.6799999999999997E-2</v>
      </c>
      <c r="G238" s="279">
        <v>0.188</v>
      </c>
      <c r="H238" s="279">
        <v>0.12640000000000001</v>
      </c>
      <c r="I238" s="279">
        <v>4.4499999999999998E-2</v>
      </c>
      <c r="J238" s="279">
        <v>0.22819999999999999</v>
      </c>
      <c r="K238" s="204">
        <f t="shared" si="10"/>
        <v>1</v>
      </c>
    </row>
    <row r="239" spans="1:11" x14ac:dyDescent="0.2">
      <c r="A239" s="200">
        <v>236</v>
      </c>
      <c r="B239" s="206" t="s">
        <v>17</v>
      </c>
      <c r="C239" s="292" t="s">
        <v>105</v>
      </c>
      <c r="D239" s="278">
        <v>0.14960000000000001</v>
      </c>
      <c r="E239" s="279">
        <v>0.16650000000000001</v>
      </c>
      <c r="F239" s="279">
        <v>9.6799999999999997E-2</v>
      </c>
      <c r="G239" s="279">
        <v>0.188</v>
      </c>
      <c r="H239" s="279">
        <v>0.12640000000000001</v>
      </c>
      <c r="I239" s="279">
        <v>4.4499999999999998E-2</v>
      </c>
      <c r="J239" s="279">
        <v>0.22819999999999999</v>
      </c>
      <c r="K239" s="204">
        <f t="shared" si="10"/>
        <v>1</v>
      </c>
    </row>
    <row r="240" spans="1:11" x14ac:dyDescent="0.2">
      <c r="A240" s="200">
        <v>237</v>
      </c>
      <c r="B240" s="206" t="s">
        <v>17</v>
      </c>
      <c r="C240" s="292" t="s">
        <v>355</v>
      </c>
      <c r="D240" s="278">
        <v>0.14960000000000001</v>
      </c>
      <c r="E240" s="279">
        <v>0.16650000000000001</v>
      </c>
      <c r="F240" s="279">
        <v>9.6799999999999997E-2</v>
      </c>
      <c r="G240" s="279">
        <v>0.188</v>
      </c>
      <c r="H240" s="279">
        <v>0.12640000000000001</v>
      </c>
      <c r="I240" s="279">
        <v>4.4499999999999998E-2</v>
      </c>
      <c r="J240" s="279">
        <v>0.22819999999999999</v>
      </c>
      <c r="K240" s="204">
        <f t="shared" si="10"/>
        <v>1</v>
      </c>
    </row>
    <row r="241" spans="1:11" x14ac:dyDescent="0.2">
      <c r="A241" s="200">
        <v>238</v>
      </c>
      <c r="B241" s="206" t="s">
        <v>17</v>
      </c>
      <c r="C241" s="292" t="s">
        <v>356</v>
      </c>
      <c r="D241" s="278">
        <v>0.14960000000000001</v>
      </c>
      <c r="E241" s="279">
        <v>0.16650000000000001</v>
      </c>
      <c r="F241" s="279">
        <v>9.6799999999999997E-2</v>
      </c>
      <c r="G241" s="279">
        <v>0.188</v>
      </c>
      <c r="H241" s="279">
        <v>0.12640000000000001</v>
      </c>
      <c r="I241" s="279">
        <v>4.4499999999999998E-2</v>
      </c>
      <c r="J241" s="279">
        <v>0.22819999999999999</v>
      </c>
      <c r="K241" s="204">
        <f t="shared" si="10"/>
        <v>1</v>
      </c>
    </row>
    <row r="242" spans="1:11" x14ac:dyDescent="0.2">
      <c r="A242" s="200">
        <v>239</v>
      </c>
      <c r="B242" s="206" t="s">
        <v>17</v>
      </c>
      <c r="C242" s="292" t="s">
        <v>357</v>
      </c>
      <c r="D242" s="278">
        <v>0.14960000000000001</v>
      </c>
      <c r="E242" s="279">
        <v>0.16650000000000001</v>
      </c>
      <c r="F242" s="279">
        <v>9.6799999999999997E-2</v>
      </c>
      <c r="G242" s="279">
        <v>0.188</v>
      </c>
      <c r="H242" s="279">
        <v>0.12640000000000001</v>
      </c>
      <c r="I242" s="279">
        <v>4.4499999999999998E-2</v>
      </c>
      <c r="J242" s="279">
        <v>0.22819999999999999</v>
      </c>
      <c r="K242" s="204">
        <f t="shared" si="10"/>
        <v>1</v>
      </c>
    </row>
    <row r="243" spans="1:11" x14ac:dyDescent="0.2">
      <c r="A243" s="200">
        <v>240</v>
      </c>
      <c r="B243" s="206" t="s">
        <v>17</v>
      </c>
      <c r="C243" s="292" t="s">
        <v>358</v>
      </c>
      <c r="D243" s="278">
        <v>0.14960000000000001</v>
      </c>
      <c r="E243" s="279">
        <v>0.16650000000000001</v>
      </c>
      <c r="F243" s="279">
        <v>9.6799999999999997E-2</v>
      </c>
      <c r="G243" s="279">
        <v>0.188</v>
      </c>
      <c r="H243" s="279">
        <v>0.12640000000000001</v>
      </c>
      <c r="I243" s="279">
        <v>4.4499999999999998E-2</v>
      </c>
      <c r="J243" s="279">
        <v>0.22819999999999999</v>
      </c>
      <c r="K243" s="204">
        <f t="shared" si="10"/>
        <v>1</v>
      </c>
    </row>
    <row r="244" spans="1:11" x14ac:dyDescent="0.2">
      <c r="A244" s="200">
        <v>241</v>
      </c>
      <c r="B244" s="206" t="s">
        <v>17</v>
      </c>
      <c r="C244" s="292" t="s">
        <v>359</v>
      </c>
      <c r="D244" s="278">
        <v>0.14960000000000001</v>
      </c>
      <c r="E244" s="279">
        <v>0.16650000000000001</v>
      </c>
      <c r="F244" s="279">
        <v>9.6799999999999997E-2</v>
      </c>
      <c r="G244" s="279">
        <v>0.188</v>
      </c>
      <c r="H244" s="279">
        <v>0.12640000000000001</v>
      </c>
      <c r="I244" s="279">
        <v>4.4499999999999998E-2</v>
      </c>
      <c r="J244" s="279">
        <v>0.22819999999999999</v>
      </c>
      <c r="K244" s="204">
        <f t="shared" si="10"/>
        <v>1</v>
      </c>
    </row>
    <row r="245" spans="1:11" x14ac:dyDescent="0.2">
      <c r="A245" s="200">
        <v>242</v>
      </c>
      <c r="B245" s="206" t="s">
        <v>17</v>
      </c>
      <c r="C245" s="292" t="s">
        <v>107</v>
      </c>
      <c r="D245" s="278">
        <v>0.14960000000000001</v>
      </c>
      <c r="E245" s="279">
        <v>0.16650000000000001</v>
      </c>
      <c r="F245" s="279">
        <v>9.6799999999999997E-2</v>
      </c>
      <c r="G245" s="279">
        <v>0.188</v>
      </c>
      <c r="H245" s="279">
        <v>0.12640000000000001</v>
      </c>
      <c r="I245" s="279">
        <v>4.4499999999999998E-2</v>
      </c>
      <c r="J245" s="279">
        <v>0.22819999999999999</v>
      </c>
      <c r="K245" s="204">
        <f t="shared" si="10"/>
        <v>1</v>
      </c>
    </row>
    <row r="246" spans="1:11" x14ac:dyDescent="0.2">
      <c r="A246" s="200">
        <v>243</v>
      </c>
      <c r="B246" s="206" t="s">
        <v>17</v>
      </c>
      <c r="C246" s="292" t="s">
        <v>360</v>
      </c>
      <c r="D246" s="278">
        <v>0.14960000000000001</v>
      </c>
      <c r="E246" s="279">
        <v>0.16650000000000001</v>
      </c>
      <c r="F246" s="279">
        <v>9.6799999999999997E-2</v>
      </c>
      <c r="G246" s="279">
        <v>0.188</v>
      </c>
      <c r="H246" s="279">
        <v>0.12640000000000001</v>
      </c>
      <c r="I246" s="279">
        <v>4.4499999999999998E-2</v>
      </c>
      <c r="J246" s="279">
        <v>0.22819999999999999</v>
      </c>
      <c r="K246" s="204">
        <f t="shared" si="10"/>
        <v>1</v>
      </c>
    </row>
    <row r="247" spans="1:11" x14ac:dyDescent="0.2">
      <c r="A247" s="200">
        <v>244</v>
      </c>
      <c r="B247" s="206" t="s">
        <v>17</v>
      </c>
      <c r="C247" s="292" t="s">
        <v>361</v>
      </c>
      <c r="D247" s="278">
        <v>0.14960000000000001</v>
      </c>
      <c r="E247" s="279">
        <v>0.16650000000000001</v>
      </c>
      <c r="F247" s="279">
        <v>9.6799999999999997E-2</v>
      </c>
      <c r="G247" s="279">
        <v>0.188</v>
      </c>
      <c r="H247" s="279">
        <v>0.12640000000000001</v>
      </c>
      <c r="I247" s="279">
        <v>4.4499999999999998E-2</v>
      </c>
      <c r="J247" s="279">
        <v>0.22819999999999999</v>
      </c>
      <c r="K247" s="204">
        <f t="shared" si="10"/>
        <v>1</v>
      </c>
    </row>
    <row r="248" spans="1:11" x14ac:dyDescent="0.2">
      <c r="A248" s="200">
        <v>245</v>
      </c>
      <c r="B248" s="206" t="s">
        <v>17</v>
      </c>
      <c r="C248" s="292" t="s">
        <v>362</v>
      </c>
      <c r="D248" s="278">
        <v>0.14960000000000001</v>
      </c>
      <c r="E248" s="279">
        <v>0.16650000000000001</v>
      </c>
      <c r="F248" s="279">
        <v>9.6799999999999997E-2</v>
      </c>
      <c r="G248" s="279">
        <v>0.188</v>
      </c>
      <c r="H248" s="279">
        <v>0.12640000000000001</v>
      </c>
      <c r="I248" s="279">
        <v>4.4499999999999998E-2</v>
      </c>
      <c r="J248" s="279">
        <v>0.22819999999999999</v>
      </c>
      <c r="K248" s="204">
        <f t="shared" si="10"/>
        <v>1</v>
      </c>
    </row>
    <row r="249" spans="1:11" x14ac:dyDescent="0.2">
      <c r="A249" s="200">
        <v>246</v>
      </c>
      <c r="B249" s="206" t="s">
        <v>17</v>
      </c>
      <c r="C249" s="292" t="s">
        <v>363</v>
      </c>
      <c r="D249" s="278">
        <v>0.14960000000000001</v>
      </c>
      <c r="E249" s="279">
        <v>0.16650000000000001</v>
      </c>
      <c r="F249" s="279">
        <v>9.6799999999999997E-2</v>
      </c>
      <c r="G249" s="279">
        <v>0.188</v>
      </c>
      <c r="H249" s="279">
        <v>0.12640000000000001</v>
      </c>
      <c r="I249" s="279">
        <v>4.4499999999999998E-2</v>
      </c>
      <c r="J249" s="279">
        <v>0.22819999999999999</v>
      </c>
      <c r="K249" s="204">
        <f t="shared" si="10"/>
        <v>1</v>
      </c>
    </row>
    <row r="250" spans="1:11" x14ac:dyDescent="0.2">
      <c r="A250" s="200">
        <v>247</v>
      </c>
      <c r="B250" s="206" t="s">
        <v>17</v>
      </c>
      <c r="C250" s="292" t="s">
        <v>364</v>
      </c>
      <c r="D250" s="278">
        <v>0.14960000000000001</v>
      </c>
      <c r="E250" s="279">
        <v>0.16650000000000001</v>
      </c>
      <c r="F250" s="279">
        <v>9.6799999999999997E-2</v>
      </c>
      <c r="G250" s="279">
        <v>0.188</v>
      </c>
      <c r="H250" s="279">
        <v>0.12640000000000001</v>
      </c>
      <c r="I250" s="279">
        <v>4.4499999999999998E-2</v>
      </c>
      <c r="J250" s="279">
        <v>0.22819999999999999</v>
      </c>
      <c r="K250" s="204">
        <f t="shared" si="10"/>
        <v>1</v>
      </c>
    </row>
    <row r="251" spans="1:11" x14ac:dyDescent="0.2">
      <c r="A251" s="200">
        <v>248</v>
      </c>
      <c r="B251" s="206" t="s">
        <v>17</v>
      </c>
      <c r="C251" s="292" t="s">
        <v>365</v>
      </c>
      <c r="D251" s="278">
        <v>0.14960000000000001</v>
      </c>
      <c r="E251" s="279">
        <v>0.16650000000000001</v>
      </c>
      <c r="F251" s="279">
        <v>9.6799999999999997E-2</v>
      </c>
      <c r="G251" s="279">
        <v>0.188</v>
      </c>
      <c r="H251" s="279">
        <v>0.12640000000000001</v>
      </c>
      <c r="I251" s="279">
        <v>4.4499999999999998E-2</v>
      </c>
      <c r="J251" s="279">
        <v>0.22819999999999999</v>
      </c>
      <c r="K251" s="204">
        <f t="shared" si="10"/>
        <v>1</v>
      </c>
    </row>
    <row r="252" spans="1:11" x14ac:dyDescent="0.2">
      <c r="A252" s="200">
        <v>249</v>
      </c>
      <c r="B252" s="206" t="s">
        <v>17</v>
      </c>
      <c r="C252" s="292" t="s">
        <v>366</v>
      </c>
      <c r="D252" s="278">
        <v>0.14960000000000001</v>
      </c>
      <c r="E252" s="279">
        <v>0.16650000000000001</v>
      </c>
      <c r="F252" s="279">
        <v>9.6799999999999997E-2</v>
      </c>
      <c r="G252" s="279">
        <v>0.188</v>
      </c>
      <c r="H252" s="279">
        <v>0.12640000000000001</v>
      </c>
      <c r="I252" s="279">
        <v>4.4499999999999998E-2</v>
      </c>
      <c r="J252" s="279">
        <v>0.22819999999999999</v>
      </c>
      <c r="K252" s="204">
        <f t="shared" si="10"/>
        <v>1</v>
      </c>
    </row>
    <row r="253" spans="1:11" x14ac:dyDescent="0.2">
      <c r="A253" s="200">
        <v>250</v>
      </c>
      <c r="B253" s="206" t="s">
        <v>17</v>
      </c>
      <c r="C253" s="292" t="s">
        <v>367</v>
      </c>
      <c r="D253" s="278">
        <v>0.14960000000000001</v>
      </c>
      <c r="E253" s="279">
        <v>0.16650000000000001</v>
      </c>
      <c r="F253" s="279">
        <v>9.6799999999999997E-2</v>
      </c>
      <c r="G253" s="279">
        <v>0.188</v>
      </c>
      <c r="H253" s="279">
        <v>0.12640000000000001</v>
      </c>
      <c r="I253" s="279">
        <v>4.4499999999999998E-2</v>
      </c>
      <c r="J253" s="279">
        <v>0.22819999999999999</v>
      </c>
      <c r="K253" s="204">
        <f t="shared" si="10"/>
        <v>1</v>
      </c>
    </row>
    <row r="254" spans="1:11" x14ac:dyDescent="0.2">
      <c r="A254" s="200">
        <v>251</v>
      </c>
      <c r="B254" s="206" t="s">
        <v>17</v>
      </c>
      <c r="C254" s="292" t="s">
        <v>101</v>
      </c>
      <c r="D254" s="278">
        <v>0.14960000000000001</v>
      </c>
      <c r="E254" s="279">
        <v>0.16650000000000001</v>
      </c>
      <c r="F254" s="279">
        <v>9.6799999999999997E-2</v>
      </c>
      <c r="G254" s="279">
        <v>0.188</v>
      </c>
      <c r="H254" s="279">
        <v>0.12640000000000001</v>
      </c>
      <c r="I254" s="279">
        <v>4.4499999999999998E-2</v>
      </c>
      <c r="J254" s="279">
        <v>0.22819999999999999</v>
      </c>
      <c r="K254" s="204">
        <f t="shared" si="10"/>
        <v>1</v>
      </c>
    </row>
    <row r="255" spans="1:11" x14ac:dyDescent="0.2">
      <c r="A255" s="200">
        <v>252</v>
      </c>
      <c r="B255" s="206" t="s">
        <v>17</v>
      </c>
      <c r="C255" s="292" t="s">
        <v>176</v>
      </c>
      <c r="D255" s="278">
        <v>0.14960000000000001</v>
      </c>
      <c r="E255" s="279">
        <v>0.16650000000000001</v>
      </c>
      <c r="F255" s="279">
        <v>9.6799999999999997E-2</v>
      </c>
      <c r="G255" s="279">
        <v>0.188</v>
      </c>
      <c r="H255" s="279">
        <v>0.12640000000000001</v>
      </c>
      <c r="I255" s="279">
        <v>4.4499999999999998E-2</v>
      </c>
      <c r="J255" s="279">
        <v>0.22819999999999999</v>
      </c>
      <c r="K255" s="204">
        <f t="shared" si="10"/>
        <v>1</v>
      </c>
    </row>
    <row r="256" spans="1:11" x14ac:dyDescent="0.2">
      <c r="A256" s="200">
        <v>253</v>
      </c>
      <c r="B256" s="206" t="s">
        <v>17</v>
      </c>
      <c r="C256" s="292" t="s">
        <v>368</v>
      </c>
      <c r="D256" s="278">
        <v>0.14960000000000001</v>
      </c>
      <c r="E256" s="279">
        <v>0.16650000000000001</v>
      </c>
      <c r="F256" s="279">
        <v>9.6799999999999997E-2</v>
      </c>
      <c r="G256" s="279">
        <v>0.188</v>
      </c>
      <c r="H256" s="279">
        <v>0.12640000000000001</v>
      </c>
      <c r="I256" s="279">
        <v>4.4499999999999998E-2</v>
      </c>
      <c r="J256" s="279">
        <v>0.22819999999999999</v>
      </c>
      <c r="K256" s="204">
        <f t="shared" si="10"/>
        <v>1</v>
      </c>
    </row>
    <row r="257" spans="1:11" x14ac:dyDescent="0.2">
      <c r="A257" s="200">
        <v>254</v>
      </c>
      <c r="B257" s="206" t="s">
        <v>17</v>
      </c>
      <c r="C257" s="292" t="s">
        <v>369</v>
      </c>
      <c r="D257" s="295">
        <v>0</v>
      </c>
      <c r="E257" s="296">
        <v>0</v>
      </c>
      <c r="F257" s="296">
        <v>0</v>
      </c>
      <c r="G257" s="296">
        <v>0</v>
      </c>
      <c r="H257" s="297">
        <v>1</v>
      </c>
      <c r="I257" s="296">
        <v>0</v>
      </c>
      <c r="J257" s="296">
        <v>0</v>
      </c>
      <c r="K257" s="204">
        <f t="shared" si="10"/>
        <v>1</v>
      </c>
    </row>
    <row r="258" spans="1:11" x14ac:dyDescent="0.2">
      <c r="A258" s="200">
        <v>255</v>
      </c>
      <c r="B258" s="206" t="s">
        <v>17</v>
      </c>
      <c r="C258" s="292" t="s">
        <v>370</v>
      </c>
      <c r="D258" s="295">
        <v>0</v>
      </c>
      <c r="E258" s="296">
        <v>0</v>
      </c>
      <c r="F258" s="296">
        <v>0</v>
      </c>
      <c r="G258" s="296">
        <v>0</v>
      </c>
      <c r="H258" s="297">
        <v>1</v>
      </c>
      <c r="I258" s="296">
        <v>0</v>
      </c>
      <c r="J258" s="296">
        <v>0</v>
      </c>
      <c r="K258" s="204">
        <f t="shared" si="10"/>
        <v>1</v>
      </c>
    </row>
    <row r="259" spans="1:11" x14ac:dyDescent="0.2">
      <c r="A259" s="200">
        <v>256</v>
      </c>
      <c r="B259" s="206" t="s">
        <v>17</v>
      </c>
      <c r="C259" s="292" t="s">
        <v>103</v>
      </c>
      <c r="D259" s="295">
        <v>0</v>
      </c>
      <c r="E259" s="296">
        <v>0</v>
      </c>
      <c r="F259" s="296">
        <v>0</v>
      </c>
      <c r="G259" s="296">
        <v>0</v>
      </c>
      <c r="H259" s="297">
        <v>1</v>
      </c>
      <c r="I259" s="296">
        <v>0</v>
      </c>
      <c r="J259" s="296">
        <v>0</v>
      </c>
      <c r="K259" s="204">
        <f t="shared" si="10"/>
        <v>1</v>
      </c>
    </row>
    <row r="260" spans="1:11" x14ac:dyDescent="0.2">
      <c r="A260" s="200">
        <v>257</v>
      </c>
      <c r="B260" s="206" t="s">
        <v>17</v>
      </c>
      <c r="C260" s="292" t="s">
        <v>371</v>
      </c>
      <c r="D260" s="278">
        <v>0.14960000000000001</v>
      </c>
      <c r="E260" s="279">
        <v>0.16650000000000001</v>
      </c>
      <c r="F260" s="279">
        <v>9.6799999999999997E-2</v>
      </c>
      <c r="G260" s="279">
        <v>0.188</v>
      </c>
      <c r="H260" s="279">
        <v>0.12640000000000001</v>
      </c>
      <c r="I260" s="279">
        <v>4.4499999999999998E-2</v>
      </c>
      <c r="J260" s="279">
        <v>0.22819999999999999</v>
      </c>
      <c r="K260" s="204">
        <f t="shared" ref="K260:K317" si="11">SUM(D260:J260)</f>
        <v>1</v>
      </c>
    </row>
    <row r="261" spans="1:11" x14ac:dyDescent="0.2">
      <c r="A261" s="200">
        <v>258</v>
      </c>
      <c r="B261" s="206" t="s">
        <v>372</v>
      </c>
      <c r="C261" s="245" t="s">
        <v>373</v>
      </c>
      <c r="D261" s="246">
        <v>0.14960000000000001</v>
      </c>
      <c r="E261" s="246">
        <v>0.16650000000000001</v>
      </c>
      <c r="F261" s="246">
        <v>9.6799999999999997E-2</v>
      </c>
      <c r="G261" s="246">
        <v>0.188</v>
      </c>
      <c r="H261" s="246">
        <v>0.12640000000000001</v>
      </c>
      <c r="I261" s="246">
        <v>4.4499999999999998E-2</v>
      </c>
      <c r="J261" s="246">
        <v>0.22819999999999999</v>
      </c>
      <c r="K261" s="204">
        <f t="shared" si="11"/>
        <v>1</v>
      </c>
    </row>
    <row r="262" spans="1:11" x14ac:dyDescent="0.2">
      <c r="A262" s="200">
        <v>259</v>
      </c>
      <c r="B262" s="206" t="s">
        <v>24</v>
      </c>
      <c r="C262" s="298" t="s">
        <v>374</v>
      </c>
      <c r="D262" s="299">
        <v>0</v>
      </c>
      <c r="E262" s="299">
        <v>0</v>
      </c>
      <c r="F262" s="300">
        <v>0</v>
      </c>
      <c r="G262" s="300">
        <v>0</v>
      </c>
      <c r="H262" s="301">
        <v>0</v>
      </c>
      <c r="I262" s="300">
        <v>0</v>
      </c>
      <c r="J262" s="301">
        <v>1</v>
      </c>
      <c r="K262" s="204">
        <f t="shared" si="11"/>
        <v>1</v>
      </c>
    </row>
    <row r="263" spans="1:11" x14ac:dyDescent="0.2">
      <c r="A263" s="200">
        <v>260</v>
      </c>
      <c r="B263" s="206" t="s">
        <v>24</v>
      </c>
      <c r="C263" s="302" t="s">
        <v>375</v>
      </c>
      <c r="D263" s="303">
        <v>0</v>
      </c>
      <c r="E263" s="303">
        <v>0</v>
      </c>
      <c r="F263" s="304">
        <v>0</v>
      </c>
      <c r="G263" s="304">
        <v>0</v>
      </c>
      <c r="H263" s="305">
        <v>0</v>
      </c>
      <c r="I263" s="304">
        <v>0</v>
      </c>
      <c r="J263" s="305">
        <v>1</v>
      </c>
      <c r="K263" s="204">
        <f t="shared" si="11"/>
        <v>1</v>
      </c>
    </row>
    <row r="264" spans="1:11" x14ac:dyDescent="0.2">
      <c r="A264" s="200">
        <v>261</v>
      </c>
      <c r="B264" s="206" t="s">
        <v>24</v>
      </c>
      <c r="C264" s="306" t="s">
        <v>99</v>
      </c>
      <c r="D264" s="307">
        <f>608.375/(2132-610.5)</f>
        <v>0.39985211961879724</v>
      </c>
      <c r="E264" s="307">
        <f>608.375/(2132-610.5)</f>
        <v>0.39985211961879724</v>
      </c>
      <c r="F264" s="304">
        <f>152.375/(2132-610.5)</f>
        <v>0.10014788038120276</v>
      </c>
      <c r="G264" s="304">
        <f>152.375/(2132-610.5)</f>
        <v>0.10014788038120276</v>
      </c>
      <c r="H264" s="305">
        <v>0</v>
      </c>
      <c r="I264" s="304">
        <v>0</v>
      </c>
      <c r="J264" s="305">
        <v>0</v>
      </c>
      <c r="K264" s="204">
        <f t="shared" si="11"/>
        <v>1</v>
      </c>
    </row>
    <row r="265" spans="1:11" x14ac:dyDescent="0.2">
      <c r="A265" s="200">
        <v>262</v>
      </c>
      <c r="B265" s="308" t="s">
        <v>376</v>
      </c>
      <c r="C265" s="309" t="s">
        <v>377</v>
      </c>
      <c r="D265" s="278">
        <v>1.2647959448820829E-3</v>
      </c>
      <c r="E265" s="279">
        <v>6.9464431955842674E-5</v>
      </c>
      <c r="F265" s="279">
        <v>1.4749458686057215E-2</v>
      </c>
      <c r="G265" s="279">
        <v>1.386240183041894E-2</v>
      </c>
      <c r="H265" s="279">
        <v>7.9403683513681583E-3</v>
      </c>
      <c r="I265" s="279">
        <v>7.7753304073226604E-3</v>
      </c>
      <c r="J265" s="279">
        <v>0.95433818034799522</v>
      </c>
      <c r="K265" s="204">
        <f t="shared" si="11"/>
        <v>1.0000000000000002</v>
      </c>
    </row>
    <row r="266" spans="1:11" x14ac:dyDescent="0.2">
      <c r="A266" s="200">
        <v>263</v>
      </c>
      <c r="B266" s="310" t="s">
        <v>376</v>
      </c>
      <c r="C266" s="311" t="s">
        <v>378</v>
      </c>
      <c r="D266" s="278">
        <v>0.18839634941329855</v>
      </c>
      <c r="E266" s="279">
        <v>0.18904823989569752</v>
      </c>
      <c r="F266" s="279">
        <v>0.14211212516297261</v>
      </c>
      <c r="G266" s="279">
        <v>0.28031290743155152</v>
      </c>
      <c r="H266" s="279">
        <v>0.15971316818774445</v>
      </c>
      <c r="I266" s="279">
        <v>3.5202086049543675E-2</v>
      </c>
      <c r="J266" s="279">
        <v>5.2151238591916557E-3</v>
      </c>
      <c r="K266" s="204">
        <f t="shared" si="11"/>
        <v>0.99999999999999989</v>
      </c>
    </row>
    <row r="267" spans="1:11" x14ac:dyDescent="0.2">
      <c r="A267" s="200">
        <v>264</v>
      </c>
      <c r="B267" s="310" t="s">
        <v>376</v>
      </c>
      <c r="C267" s="311" t="s">
        <v>379</v>
      </c>
      <c r="D267" s="278">
        <v>0.51347947139846928</v>
      </c>
      <c r="E267" s="279">
        <v>0.12386652900174584</v>
      </c>
      <c r="F267" s="279">
        <v>8.0846711915251571E-2</v>
      </c>
      <c r="G267" s="279">
        <v>0.19103896441871704</v>
      </c>
      <c r="H267" s="279">
        <v>7.6859687097280693E-2</v>
      </c>
      <c r="I267" s="279">
        <v>1.2578751145074478E-2</v>
      </c>
      <c r="J267" s="279">
        <v>1.329885023461066E-3</v>
      </c>
      <c r="K267" s="204">
        <f t="shared" si="11"/>
        <v>1</v>
      </c>
    </row>
    <row r="268" spans="1:11" x14ac:dyDescent="0.2">
      <c r="A268" s="200">
        <v>265</v>
      </c>
      <c r="B268" s="312" t="s">
        <v>376</v>
      </c>
      <c r="C268" s="313" t="s">
        <v>120</v>
      </c>
      <c r="D268" s="278">
        <v>0.12380952380952383</v>
      </c>
      <c r="E268" s="279">
        <v>0.22857142857142856</v>
      </c>
      <c r="F268" s="279">
        <v>0.13333333333333336</v>
      </c>
      <c r="G268" s="279">
        <v>0.31428571428571428</v>
      </c>
      <c r="H268" s="279">
        <v>0.17142857142857143</v>
      </c>
      <c r="I268" s="279">
        <v>2.8571428571428571E-2</v>
      </c>
      <c r="J268" s="279">
        <v>0</v>
      </c>
      <c r="K268" s="204">
        <f t="shared" si="11"/>
        <v>1</v>
      </c>
    </row>
    <row r="269" spans="1:11" x14ac:dyDescent="0.2">
      <c r="A269" s="200">
        <v>266</v>
      </c>
      <c r="B269" s="310" t="s">
        <v>376</v>
      </c>
      <c r="C269" s="311" t="s">
        <v>380</v>
      </c>
      <c r="D269" s="420">
        <v>0.1938</v>
      </c>
      <c r="E269" s="420">
        <v>0.2157</v>
      </c>
      <c r="F269" s="420">
        <v>0.12540000000000001</v>
      </c>
      <c r="G269" s="420">
        <v>0.24360000000000001</v>
      </c>
      <c r="H269" s="420">
        <v>0.1638</v>
      </c>
      <c r="I269" s="420">
        <v>5.7700000000000001E-2</v>
      </c>
      <c r="J269" s="420"/>
      <c r="K269" s="420">
        <v>1</v>
      </c>
    </row>
    <row r="270" spans="1:11" x14ac:dyDescent="0.2">
      <c r="A270" s="200" t="s">
        <v>465</v>
      </c>
      <c r="B270" s="310"/>
      <c r="C270" s="421" t="s">
        <v>466</v>
      </c>
      <c r="D270" s="420"/>
      <c r="E270" s="420"/>
      <c r="F270" s="420"/>
      <c r="G270" s="420"/>
      <c r="H270" s="420"/>
      <c r="I270" s="420"/>
      <c r="J270" s="420">
        <v>1</v>
      </c>
      <c r="K270" s="420"/>
    </row>
    <row r="271" spans="1:11" x14ac:dyDescent="0.2">
      <c r="A271" s="200">
        <v>267</v>
      </c>
      <c r="B271" s="310" t="s">
        <v>376</v>
      </c>
      <c r="C271" s="314" t="s">
        <v>381</v>
      </c>
      <c r="D271" s="278">
        <v>0.14960000000000001</v>
      </c>
      <c r="E271" s="279">
        <v>0.16650000000000001</v>
      </c>
      <c r="F271" s="279">
        <v>9.6799999999999997E-2</v>
      </c>
      <c r="G271" s="279">
        <v>0.188</v>
      </c>
      <c r="H271" s="279">
        <v>0.12640000000000001</v>
      </c>
      <c r="I271" s="279">
        <v>4.4499999999999998E-2</v>
      </c>
      <c r="J271" s="279">
        <v>0.22819999999999999</v>
      </c>
      <c r="K271" s="204">
        <f t="shared" si="11"/>
        <v>1</v>
      </c>
    </row>
    <row r="272" spans="1:11" ht="13.5" thickBot="1" x14ac:dyDescent="0.25">
      <c r="A272" s="200">
        <v>268</v>
      </c>
      <c r="B272" s="312" t="s">
        <v>376</v>
      </c>
      <c r="C272" s="312" t="s">
        <v>382</v>
      </c>
      <c r="D272" s="278">
        <v>0</v>
      </c>
      <c r="E272" s="279">
        <v>0</v>
      </c>
      <c r="F272" s="279">
        <v>0</v>
      </c>
      <c r="G272" s="279">
        <v>0</v>
      </c>
      <c r="H272" s="279">
        <v>0</v>
      </c>
      <c r="I272" s="279">
        <v>0</v>
      </c>
      <c r="J272" s="279">
        <v>1</v>
      </c>
      <c r="K272" s="204">
        <f t="shared" si="11"/>
        <v>1</v>
      </c>
    </row>
    <row r="273" spans="1:11" x14ac:dyDescent="0.2">
      <c r="A273" s="200">
        <v>269</v>
      </c>
      <c r="B273" s="206" t="s">
        <v>383</v>
      </c>
      <c r="C273" s="315" t="s">
        <v>79</v>
      </c>
      <c r="D273" s="316">
        <v>0.14960000000000001</v>
      </c>
      <c r="E273" s="317">
        <v>0.16650000000000001</v>
      </c>
      <c r="F273" s="317">
        <v>9.6799999999999997E-2</v>
      </c>
      <c r="G273" s="317">
        <v>0.188</v>
      </c>
      <c r="H273" s="317">
        <v>0.12640000000000001</v>
      </c>
      <c r="I273" s="317">
        <v>4.4499999999999998E-2</v>
      </c>
      <c r="J273" s="317">
        <v>0.22819999999999999</v>
      </c>
      <c r="K273" s="204">
        <f t="shared" si="11"/>
        <v>1</v>
      </c>
    </row>
    <row r="274" spans="1:11" x14ac:dyDescent="0.2">
      <c r="A274" s="200">
        <v>270</v>
      </c>
      <c r="B274" s="206" t="s">
        <v>383</v>
      </c>
      <c r="C274" s="315" t="s">
        <v>129</v>
      </c>
      <c r="D274" s="318">
        <v>0.29428615150056037</v>
      </c>
      <c r="E274" s="210">
        <v>0.12988015949118961</v>
      </c>
      <c r="F274" s="210">
        <v>0.23106595685490403</v>
      </c>
      <c r="G274" s="210">
        <v>0.18335471860688402</v>
      </c>
      <c r="H274" s="210">
        <v>0.1236734372816341</v>
      </c>
      <c r="I274" s="210">
        <v>1.9089836070080905E-2</v>
      </c>
      <c r="J274" s="210">
        <v>1.8649740194746956E-2</v>
      </c>
      <c r="K274" s="204">
        <f t="shared" si="11"/>
        <v>1</v>
      </c>
    </row>
    <row r="275" spans="1:11" x14ac:dyDescent="0.2">
      <c r="A275" s="200">
        <v>271</v>
      </c>
      <c r="B275" s="206" t="s">
        <v>383</v>
      </c>
      <c r="C275" s="319" t="s">
        <v>80</v>
      </c>
      <c r="D275" s="320">
        <v>0.14960000000000001</v>
      </c>
      <c r="E275" s="321">
        <v>0.16650000000000001</v>
      </c>
      <c r="F275" s="321">
        <v>9.6799999999999997E-2</v>
      </c>
      <c r="G275" s="321">
        <v>0.188</v>
      </c>
      <c r="H275" s="321">
        <v>0.12640000000000001</v>
      </c>
      <c r="I275" s="321">
        <v>4.4499999999999998E-2</v>
      </c>
      <c r="J275" s="321">
        <v>0.22819999999999999</v>
      </c>
      <c r="K275" s="204">
        <f t="shared" si="11"/>
        <v>1</v>
      </c>
    </row>
    <row r="276" spans="1:11" x14ac:dyDescent="0.2">
      <c r="A276" s="200">
        <v>272</v>
      </c>
      <c r="B276" s="206" t="s">
        <v>383</v>
      </c>
      <c r="C276" s="322" t="s">
        <v>82</v>
      </c>
      <c r="D276" s="323">
        <v>0.28689999999999999</v>
      </c>
      <c r="E276" s="324">
        <v>9.8599999999999993E-2</v>
      </c>
      <c r="F276" s="324">
        <v>0.1855</v>
      </c>
      <c r="G276" s="324">
        <v>0.39250000000000002</v>
      </c>
      <c r="H276" s="324">
        <v>1.5100000000000001E-2</v>
      </c>
      <c r="I276" s="324">
        <v>2.1399999999999999E-2</v>
      </c>
      <c r="J276" s="324">
        <v>0</v>
      </c>
      <c r="K276" s="204">
        <f t="shared" si="11"/>
        <v>1</v>
      </c>
    </row>
    <row r="277" spans="1:11" x14ac:dyDescent="0.2">
      <c r="A277" s="200">
        <v>273</v>
      </c>
      <c r="B277" s="206" t="s">
        <v>383</v>
      </c>
      <c r="C277" s="322" t="s">
        <v>384</v>
      </c>
      <c r="D277" s="325">
        <v>0.14960000000000001</v>
      </c>
      <c r="E277" s="216">
        <v>0.16650000000000001</v>
      </c>
      <c r="F277" s="216">
        <v>9.6799999999999997E-2</v>
      </c>
      <c r="G277" s="216">
        <v>0.188</v>
      </c>
      <c r="H277" s="216">
        <v>0.12640000000000001</v>
      </c>
      <c r="I277" s="216">
        <v>4.4499999999999998E-2</v>
      </c>
      <c r="J277" s="216">
        <v>0.22819999999999999</v>
      </c>
      <c r="K277" s="204">
        <f t="shared" si="11"/>
        <v>1</v>
      </c>
    </row>
    <row r="278" spans="1:11" x14ac:dyDescent="0.2">
      <c r="A278" s="200">
        <v>274</v>
      </c>
      <c r="B278" s="206" t="s">
        <v>383</v>
      </c>
      <c r="C278" s="322" t="s">
        <v>133</v>
      </c>
      <c r="D278" s="325">
        <v>0.14960000000000001</v>
      </c>
      <c r="E278" s="216">
        <v>0.16650000000000001</v>
      </c>
      <c r="F278" s="216">
        <v>9.6799999999999997E-2</v>
      </c>
      <c r="G278" s="216">
        <v>0.188</v>
      </c>
      <c r="H278" s="216">
        <v>0.12640000000000001</v>
      </c>
      <c r="I278" s="216">
        <v>4.4499999999999998E-2</v>
      </c>
      <c r="J278" s="216">
        <v>0.22819999999999999</v>
      </c>
      <c r="K278" s="204">
        <f t="shared" si="11"/>
        <v>1</v>
      </c>
    </row>
    <row r="279" spans="1:11" x14ac:dyDescent="0.2">
      <c r="A279" s="200">
        <v>275</v>
      </c>
      <c r="B279" s="206" t="s">
        <v>383</v>
      </c>
      <c r="C279" s="322" t="s">
        <v>78</v>
      </c>
      <c r="D279" s="318">
        <v>0.14960000000000001</v>
      </c>
      <c r="E279" s="210">
        <v>0.16650000000000001</v>
      </c>
      <c r="F279" s="210">
        <v>9.6799999999999997E-2</v>
      </c>
      <c r="G279" s="210">
        <v>0.188</v>
      </c>
      <c r="H279" s="210">
        <v>0.12640000000000001</v>
      </c>
      <c r="I279" s="210">
        <v>4.4499999999999998E-2</v>
      </c>
      <c r="J279" s="210">
        <v>0.22819999999999999</v>
      </c>
      <c r="K279" s="204">
        <f t="shared" si="11"/>
        <v>1</v>
      </c>
    </row>
    <row r="280" spans="1:11" x14ac:dyDescent="0.2">
      <c r="A280" s="200">
        <v>276</v>
      </c>
      <c r="B280" s="206" t="s">
        <v>383</v>
      </c>
      <c r="C280" s="322" t="s">
        <v>130</v>
      </c>
      <c r="D280" s="325">
        <v>0.14960000000000001</v>
      </c>
      <c r="E280" s="216">
        <v>0.16650000000000001</v>
      </c>
      <c r="F280" s="216">
        <v>9.6799999999999997E-2</v>
      </c>
      <c r="G280" s="216">
        <v>0.188</v>
      </c>
      <c r="H280" s="216">
        <v>0.12640000000000001</v>
      </c>
      <c r="I280" s="216">
        <v>4.4499999999999998E-2</v>
      </c>
      <c r="J280" s="216">
        <v>0.22819999999999999</v>
      </c>
      <c r="K280" s="204">
        <f t="shared" si="11"/>
        <v>1</v>
      </c>
    </row>
    <row r="281" spans="1:11" ht="25.5" x14ac:dyDescent="0.2">
      <c r="A281" s="200">
        <v>277</v>
      </c>
      <c r="B281" s="206" t="s">
        <v>383</v>
      </c>
      <c r="C281" s="326" t="s">
        <v>123</v>
      </c>
      <c r="D281" s="327">
        <v>0.20459924531112836</v>
      </c>
      <c r="E281" s="211">
        <v>0.22434215911349825</v>
      </c>
      <c r="F281" s="211">
        <v>0.12698486941058826</v>
      </c>
      <c r="G281" s="211">
        <v>0.2497818348909131</v>
      </c>
      <c r="H281" s="211">
        <v>0.16549712844912001</v>
      </c>
      <c r="I281" s="211">
        <v>2.8794762824752029E-2</v>
      </c>
      <c r="J281" s="211">
        <v>0</v>
      </c>
      <c r="K281" s="204">
        <f t="shared" si="11"/>
        <v>1</v>
      </c>
    </row>
    <row r="282" spans="1:11" ht="25.5" x14ac:dyDescent="0.2">
      <c r="A282" s="200">
        <v>278</v>
      </c>
      <c r="B282" s="206" t="s">
        <v>383</v>
      </c>
      <c r="C282" s="326" t="s">
        <v>385</v>
      </c>
      <c r="D282" s="327">
        <v>0.20459924531112836</v>
      </c>
      <c r="E282" s="211">
        <v>0.22434215911349825</v>
      </c>
      <c r="F282" s="211">
        <v>0.12698486941058826</v>
      </c>
      <c r="G282" s="211">
        <v>0.2497818348909131</v>
      </c>
      <c r="H282" s="211">
        <v>0.16549712844912001</v>
      </c>
      <c r="I282" s="211">
        <v>2.8794762824752029E-2</v>
      </c>
      <c r="J282" s="211">
        <v>0</v>
      </c>
      <c r="K282" s="204">
        <f t="shared" si="11"/>
        <v>1</v>
      </c>
    </row>
    <row r="283" spans="1:11" x14ac:dyDescent="0.2">
      <c r="A283" s="200">
        <v>279</v>
      </c>
      <c r="B283" s="206" t="s">
        <v>383</v>
      </c>
      <c r="C283" s="328" t="s">
        <v>122</v>
      </c>
      <c r="D283" s="327">
        <v>0.20459924531112836</v>
      </c>
      <c r="E283" s="211">
        <v>0.22434215911349825</v>
      </c>
      <c r="F283" s="211">
        <v>0.12698486941058826</v>
      </c>
      <c r="G283" s="211">
        <v>0.2497818348909131</v>
      </c>
      <c r="H283" s="211">
        <v>0.16549712844912001</v>
      </c>
      <c r="I283" s="211">
        <v>2.8794762824752029E-2</v>
      </c>
      <c r="J283" s="211">
        <v>0</v>
      </c>
      <c r="K283" s="204">
        <f t="shared" si="11"/>
        <v>1</v>
      </c>
    </row>
    <row r="284" spans="1:11" x14ac:dyDescent="0.2">
      <c r="A284" s="200">
        <v>280</v>
      </c>
      <c r="B284" s="206" t="s">
        <v>383</v>
      </c>
      <c r="C284" s="329" t="s">
        <v>134</v>
      </c>
      <c r="D284" s="318">
        <v>0.59433174941701272</v>
      </c>
      <c r="E284" s="210">
        <v>3.8701747515945711E-2</v>
      </c>
      <c r="F284" s="210">
        <v>0.11841574525551953</v>
      </c>
      <c r="G284" s="210">
        <v>0.21693341318555845</v>
      </c>
      <c r="H284" s="210">
        <v>2.2494752807341974E-2</v>
      </c>
      <c r="I284" s="210">
        <v>8.8830693302861339E-3</v>
      </c>
      <c r="J284" s="210">
        <v>2.3952248833551473E-4</v>
      </c>
      <c r="K284" s="204">
        <f t="shared" si="11"/>
        <v>1</v>
      </c>
    </row>
    <row r="285" spans="1:11" ht="13.5" customHeight="1" x14ac:dyDescent="0.2">
      <c r="A285" s="200">
        <v>281</v>
      </c>
      <c r="B285" s="206" t="s">
        <v>383</v>
      </c>
      <c r="C285" s="329" t="s">
        <v>137</v>
      </c>
      <c r="D285" s="318">
        <v>0.51501525209155152</v>
      </c>
      <c r="E285" s="210">
        <v>0.11506569648581859</v>
      </c>
      <c r="F285" s="210">
        <v>8.5285044798503462E-2</v>
      </c>
      <c r="G285" s="210">
        <v>0.18745634470412967</v>
      </c>
      <c r="H285" s="210">
        <v>8.5420141538551403E-2</v>
      </c>
      <c r="I285" s="210">
        <v>1.0229361465991184E-2</v>
      </c>
      <c r="J285" s="210">
        <v>1.5281589154542844E-3</v>
      </c>
      <c r="K285" s="204">
        <f t="shared" si="11"/>
        <v>1</v>
      </c>
    </row>
    <row r="286" spans="1:11" ht="13.5" customHeight="1" x14ac:dyDescent="0.2">
      <c r="A286" s="200">
        <v>282</v>
      </c>
      <c r="B286" s="206" t="s">
        <v>383</v>
      </c>
      <c r="C286" s="326" t="s">
        <v>131</v>
      </c>
      <c r="D286" s="318">
        <v>0</v>
      </c>
      <c r="E286" s="210">
        <v>0</v>
      </c>
      <c r="F286" s="210">
        <v>0</v>
      </c>
      <c r="G286" s="210">
        <v>0</v>
      </c>
      <c r="H286" s="210">
        <v>0</v>
      </c>
      <c r="I286" s="210">
        <v>0</v>
      </c>
      <c r="J286" s="210">
        <v>1</v>
      </c>
      <c r="K286" s="204">
        <f t="shared" si="11"/>
        <v>1</v>
      </c>
    </row>
    <row r="287" spans="1:11" ht="13.5" customHeight="1" x14ac:dyDescent="0.2">
      <c r="A287" s="200">
        <v>283</v>
      </c>
      <c r="B287" s="206" t="s">
        <v>383</v>
      </c>
      <c r="C287" s="326" t="s">
        <v>132</v>
      </c>
      <c r="D287" s="327">
        <v>0.41971830985915493</v>
      </c>
      <c r="E287" s="211">
        <v>1.4084507042253521E-2</v>
      </c>
      <c r="F287" s="211">
        <v>0.11549295774647887</v>
      </c>
      <c r="G287" s="211">
        <v>0.30985915492957744</v>
      </c>
      <c r="H287" s="211">
        <v>9.014084507042254E-2</v>
      </c>
      <c r="I287" s="211">
        <v>5.0704225352112678E-2</v>
      </c>
      <c r="J287" s="211">
        <v>0</v>
      </c>
      <c r="K287" s="204">
        <f t="shared" si="11"/>
        <v>1</v>
      </c>
    </row>
    <row r="288" spans="1:11" ht="13.5" customHeight="1" x14ac:dyDescent="0.2">
      <c r="A288" s="200">
        <v>284</v>
      </c>
      <c r="B288" s="206" t="s">
        <v>383</v>
      </c>
      <c r="C288" s="329" t="s">
        <v>386</v>
      </c>
      <c r="D288" s="318">
        <v>0.29428615150056037</v>
      </c>
      <c r="E288" s="210">
        <v>0.12988015949118961</v>
      </c>
      <c r="F288" s="210">
        <v>0.23106595685490403</v>
      </c>
      <c r="G288" s="210">
        <v>0.18335471860688402</v>
      </c>
      <c r="H288" s="210">
        <v>0.1236734372816341</v>
      </c>
      <c r="I288" s="210">
        <v>1.9089836070080905E-2</v>
      </c>
      <c r="J288" s="210">
        <v>1.8649740194746956E-2</v>
      </c>
      <c r="K288" s="204">
        <f t="shared" si="11"/>
        <v>1</v>
      </c>
    </row>
    <row r="289" spans="1:11" ht="13.5" customHeight="1" x14ac:dyDescent="0.2">
      <c r="A289" s="200">
        <v>285</v>
      </c>
      <c r="B289" s="206" t="s">
        <v>383</v>
      </c>
      <c r="C289" s="330" t="s">
        <v>119</v>
      </c>
      <c r="D289" s="331">
        <v>0.27021404725074866</v>
      </c>
      <c r="E289" s="332">
        <v>0.15841033776948113</v>
      </c>
      <c r="F289" s="332">
        <v>0.1746353732884886</v>
      </c>
      <c r="G289" s="332">
        <v>0.28921319812865792</v>
      </c>
      <c r="H289" s="332">
        <v>9.8381127668259211E-2</v>
      </c>
      <c r="I289" s="332">
        <v>9.1459158943642642E-3</v>
      </c>
      <c r="J289" s="332">
        <v>0</v>
      </c>
      <c r="K289" s="204">
        <f t="shared" si="11"/>
        <v>0.99999999999999989</v>
      </c>
    </row>
    <row r="290" spans="1:11" ht="13.5" customHeight="1" x14ac:dyDescent="0.2">
      <c r="A290" s="200">
        <v>286</v>
      </c>
      <c r="B290" s="206" t="s">
        <v>383</v>
      </c>
      <c r="C290" s="326" t="s">
        <v>387</v>
      </c>
      <c r="D290" s="318">
        <v>0.27021404725074866</v>
      </c>
      <c r="E290" s="210">
        <v>0.15841033776948113</v>
      </c>
      <c r="F290" s="210">
        <v>0.1746353732884886</v>
      </c>
      <c r="G290" s="210">
        <v>0.28921319812865792</v>
      </c>
      <c r="H290" s="210">
        <v>9.8381127668259211E-2</v>
      </c>
      <c r="I290" s="210">
        <v>9.1459158943642642E-3</v>
      </c>
      <c r="J290" s="210">
        <v>0</v>
      </c>
      <c r="K290" s="204">
        <f t="shared" si="11"/>
        <v>0.99999999999999989</v>
      </c>
    </row>
    <row r="291" spans="1:11" ht="13.5" customHeight="1" x14ac:dyDescent="0.2">
      <c r="A291" s="200">
        <v>287</v>
      </c>
      <c r="B291" s="206" t="s">
        <v>383</v>
      </c>
      <c r="C291" s="326" t="s">
        <v>125</v>
      </c>
      <c r="D291" s="318">
        <v>0.20294520655559845</v>
      </c>
      <c r="E291" s="210">
        <v>0.21789575179423906</v>
      </c>
      <c r="F291" s="210">
        <v>0.12212981699133454</v>
      </c>
      <c r="G291" s="210">
        <v>0.24119047008691896</v>
      </c>
      <c r="H291" s="210">
        <v>0.16030933930489616</v>
      </c>
      <c r="I291" s="210">
        <v>5.5529415267012702E-2</v>
      </c>
      <c r="J291" s="210">
        <v>0</v>
      </c>
      <c r="K291" s="204">
        <f t="shared" si="11"/>
        <v>0.99999999999999978</v>
      </c>
    </row>
    <row r="292" spans="1:11" ht="13.5" customHeight="1" x14ac:dyDescent="0.2">
      <c r="A292" s="200">
        <v>288</v>
      </c>
      <c r="B292" s="206" t="s">
        <v>383</v>
      </c>
      <c r="C292" s="329" t="s">
        <v>388</v>
      </c>
      <c r="D292" s="325">
        <v>0.16368563685636855</v>
      </c>
      <c r="E292" s="216">
        <v>0.22330623306233063</v>
      </c>
      <c r="F292" s="216">
        <v>0.15121951219512195</v>
      </c>
      <c r="G292" s="216">
        <v>0.23035230352303523</v>
      </c>
      <c r="H292" s="216">
        <v>0.17994579945799458</v>
      </c>
      <c r="I292" s="216">
        <v>4.8238482384823846E-2</v>
      </c>
      <c r="J292" s="216">
        <v>3.2520325203252032E-3</v>
      </c>
      <c r="K292" s="204">
        <f t="shared" si="11"/>
        <v>1</v>
      </c>
    </row>
    <row r="293" spans="1:11" ht="13.5" customHeight="1" x14ac:dyDescent="0.2">
      <c r="A293" s="200">
        <v>289</v>
      </c>
      <c r="B293" s="206" t="s">
        <v>383</v>
      </c>
      <c r="C293" s="329" t="s">
        <v>83</v>
      </c>
      <c r="D293" s="318">
        <v>0.59433174941701272</v>
      </c>
      <c r="E293" s="210">
        <v>3.8701747515945711E-2</v>
      </c>
      <c r="F293" s="210">
        <v>0.11841574525551953</v>
      </c>
      <c r="G293" s="210">
        <v>0.21693341318555845</v>
      </c>
      <c r="H293" s="210">
        <v>2.2494752807341974E-2</v>
      </c>
      <c r="I293" s="210">
        <v>8.8830693302861339E-3</v>
      </c>
      <c r="J293" s="210">
        <v>2.3952248833551473E-4</v>
      </c>
      <c r="K293" s="204">
        <f t="shared" si="11"/>
        <v>1</v>
      </c>
    </row>
    <row r="294" spans="1:11" ht="13.5" customHeight="1" x14ac:dyDescent="0.2">
      <c r="A294" s="200">
        <v>290</v>
      </c>
      <c r="B294" s="206" t="s">
        <v>383</v>
      </c>
      <c r="C294" s="329" t="s">
        <v>121</v>
      </c>
      <c r="D294" s="325">
        <v>0.1</v>
      </c>
      <c r="E294" s="216">
        <v>0.15</v>
      </c>
      <c r="F294" s="216">
        <v>0.2</v>
      </c>
      <c r="G294" s="216">
        <v>0.35</v>
      </c>
      <c r="H294" s="216">
        <v>0.15</v>
      </c>
      <c r="I294" s="216">
        <v>0.05</v>
      </c>
      <c r="J294" s="216">
        <v>0</v>
      </c>
      <c r="K294" s="204">
        <f t="shared" si="11"/>
        <v>1</v>
      </c>
    </row>
    <row r="295" spans="1:11" ht="13.5" customHeight="1" x14ac:dyDescent="0.2">
      <c r="A295" s="200">
        <v>291</v>
      </c>
      <c r="B295" s="206" t="s">
        <v>383</v>
      </c>
      <c r="C295" s="333" t="s">
        <v>389</v>
      </c>
      <c r="D295" s="334">
        <v>1.2044008652038625E-2</v>
      </c>
      <c r="E295" s="335">
        <v>0.51791059653240468</v>
      </c>
      <c r="F295" s="335">
        <v>8.5338408063339814E-3</v>
      </c>
      <c r="G295" s="335">
        <v>3.5704622157159021E-3</v>
      </c>
      <c r="H295" s="335">
        <v>0.42498343942629585</v>
      </c>
      <c r="I295" s="335">
        <v>2.8185102774921568E-2</v>
      </c>
      <c r="J295" s="335">
        <v>4.7725495922893348E-3</v>
      </c>
      <c r="K295" s="204">
        <f t="shared" si="11"/>
        <v>0.99999999999999989</v>
      </c>
    </row>
    <row r="296" spans="1:11" ht="13.5" customHeight="1" x14ac:dyDescent="0.2">
      <c r="A296" s="200">
        <v>292</v>
      </c>
      <c r="B296" s="206" t="s">
        <v>383</v>
      </c>
      <c r="C296" s="333" t="s">
        <v>390</v>
      </c>
      <c r="D296" s="334">
        <v>0.38732011488896956</v>
      </c>
      <c r="E296" s="335">
        <v>4.5075396824899522E-3</v>
      </c>
      <c r="F296" s="335">
        <v>2.4427199529548617E-2</v>
      </c>
      <c r="G296" s="335">
        <v>0.54691930631492469</v>
      </c>
      <c r="H296" s="335">
        <v>9.0144663444872498E-4</v>
      </c>
      <c r="I296" s="335">
        <v>3.5030096629784686E-2</v>
      </c>
      <c r="J296" s="335">
        <v>9.0731735884080845E-4</v>
      </c>
      <c r="K296" s="204">
        <f t="shared" si="11"/>
        <v>1.000013021039007</v>
      </c>
    </row>
    <row r="297" spans="1:11" ht="13.5" customHeight="1" x14ac:dyDescent="0.2">
      <c r="A297" s="200">
        <v>293</v>
      </c>
      <c r="B297" s="206" t="s">
        <v>383</v>
      </c>
      <c r="C297" s="333" t="s">
        <v>136</v>
      </c>
      <c r="D297" s="334">
        <v>0.20843030773209206</v>
      </c>
      <c r="E297" s="335">
        <v>0.14546159813809156</v>
      </c>
      <c r="F297" s="335">
        <v>9.7362296353762617E-2</v>
      </c>
      <c r="G297" s="335">
        <v>0.18774243599689686</v>
      </c>
      <c r="H297" s="335">
        <v>2.9092319627618313E-2</v>
      </c>
      <c r="I297" s="335">
        <v>0.10796483061805018</v>
      </c>
      <c r="J297" s="335">
        <v>0.22394621153348851</v>
      </c>
      <c r="K297" s="204">
        <f t="shared" si="11"/>
        <v>1</v>
      </c>
    </row>
    <row r="298" spans="1:11" ht="13.5" customHeight="1" x14ac:dyDescent="0.2">
      <c r="A298" s="200">
        <v>294</v>
      </c>
      <c r="B298" s="206" t="s">
        <v>383</v>
      </c>
      <c r="C298" s="333" t="s">
        <v>135</v>
      </c>
      <c r="D298" s="334">
        <v>0.20843030773209206</v>
      </c>
      <c r="E298" s="335">
        <v>0.14546159813809156</v>
      </c>
      <c r="F298" s="335">
        <v>9.7362296353762617E-2</v>
      </c>
      <c r="G298" s="335">
        <v>0.18774243599689686</v>
      </c>
      <c r="H298" s="335">
        <v>2.9092319627618313E-2</v>
      </c>
      <c r="I298" s="335">
        <v>0.10796483061805018</v>
      </c>
      <c r="J298" s="335">
        <v>0.22394621153348851</v>
      </c>
      <c r="K298" s="204">
        <f t="shared" si="11"/>
        <v>1</v>
      </c>
    </row>
    <row r="299" spans="1:11" ht="13.5" customHeight="1" x14ac:dyDescent="0.2">
      <c r="A299" s="200">
        <v>295</v>
      </c>
      <c r="B299" s="206" t="s">
        <v>383</v>
      </c>
      <c r="C299" s="333" t="s">
        <v>391</v>
      </c>
      <c r="D299" s="325">
        <v>7.2742478801356453E-2</v>
      </c>
      <c r="E299" s="216">
        <v>0.44500211516812055</v>
      </c>
      <c r="F299" s="216">
        <v>9.2035215938587531E-2</v>
      </c>
      <c r="G299" s="216">
        <v>0.14570279927466112</v>
      </c>
      <c r="H299" s="216">
        <v>0.21402882544966248</v>
      </c>
      <c r="I299" s="216">
        <v>2.7411271028188321E-2</v>
      </c>
      <c r="J299" s="216">
        <v>3.077294339423527E-3</v>
      </c>
      <c r="K299" s="204">
        <f t="shared" si="11"/>
        <v>1</v>
      </c>
    </row>
    <row r="300" spans="1:11" ht="13.5" customHeight="1" x14ac:dyDescent="0.2">
      <c r="A300" s="200">
        <v>296</v>
      </c>
      <c r="B300" s="206" t="s">
        <v>383</v>
      </c>
      <c r="C300" s="333" t="s">
        <v>392</v>
      </c>
      <c r="D300" s="325">
        <v>0.14960000000000001</v>
      </c>
      <c r="E300" s="216">
        <v>0.16650000000000001</v>
      </c>
      <c r="F300" s="216">
        <v>9.6799999999999997E-2</v>
      </c>
      <c r="G300" s="216">
        <v>0.188</v>
      </c>
      <c r="H300" s="216">
        <v>0.12640000000000001</v>
      </c>
      <c r="I300" s="216">
        <v>4.4499999999999998E-2</v>
      </c>
      <c r="J300" s="216">
        <v>0.22819999999999999</v>
      </c>
      <c r="K300" s="204">
        <f t="shared" si="11"/>
        <v>1</v>
      </c>
    </row>
    <row r="301" spans="1:11" ht="13.5" customHeight="1" x14ac:dyDescent="0.2">
      <c r="A301" s="200">
        <v>297</v>
      </c>
      <c r="B301" s="206" t="s">
        <v>383</v>
      </c>
      <c r="C301" s="336" t="s">
        <v>128</v>
      </c>
      <c r="D301" s="318">
        <v>0.22161850358259935</v>
      </c>
      <c r="E301" s="210">
        <v>0.22500303428221191</v>
      </c>
      <c r="F301" s="210">
        <v>0.1583802481051933</v>
      </c>
      <c r="G301" s="210">
        <v>0.23345481406370083</v>
      </c>
      <c r="H301" s="210">
        <v>0.14178856467285</v>
      </c>
      <c r="I301" s="210">
        <v>1.6553824440998871E-2</v>
      </c>
      <c r="J301" s="210">
        <v>3.2010108524458251E-3</v>
      </c>
      <c r="K301" s="204">
        <f t="shared" si="11"/>
        <v>1</v>
      </c>
    </row>
    <row r="302" spans="1:11" ht="13.5" customHeight="1" x14ac:dyDescent="0.2">
      <c r="A302" s="200">
        <v>298</v>
      </c>
      <c r="B302" s="206" t="s">
        <v>383</v>
      </c>
      <c r="C302" s="336" t="s">
        <v>393</v>
      </c>
      <c r="D302" s="327">
        <v>0.20459924531112836</v>
      </c>
      <c r="E302" s="211">
        <v>0.22434215911349825</v>
      </c>
      <c r="F302" s="211">
        <v>0.12698486941058826</v>
      </c>
      <c r="G302" s="211">
        <v>0.2497818348909131</v>
      </c>
      <c r="H302" s="211">
        <v>0.16549712844912001</v>
      </c>
      <c r="I302" s="211">
        <v>2.8794762824752029E-2</v>
      </c>
      <c r="J302" s="211">
        <v>0</v>
      </c>
      <c r="K302" s="204">
        <f t="shared" si="11"/>
        <v>1</v>
      </c>
    </row>
    <row r="303" spans="1:11" ht="13.5" customHeight="1" x14ac:dyDescent="0.2">
      <c r="A303" s="200">
        <v>299</v>
      </c>
      <c r="B303" s="206" t="s">
        <v>383</v>
      </c>
      <c r="C303" s="337" t="s">
        <v>127</v>
      </c>
      <c r="D303" s="325">
        <v>0.22161850358259935</v>
      </c>
      <c r="E303" s="216">
        <v>0.22500303428221191</v>
      </c>
      <c r="F303" s="216">
        <v>0.1583802481051933</v>
      </c>
      <c r="G303" s="216">
        <v>0.23345481406370083</v>
      </c>
      <c r="H303" s="216">
        <v>0.14178856467285</v>
      </c>
      <c r="I303" s="216">
        <v>1.6553824440998871E-2</v>
      </c>
      <c r="J303" s="216">
        <v>3.2010108524458251E-3</v>
      </c>
      <c r="K303" s="204">
        <f t="shared" si="11"/>
        <v>1</v>
      </c>
    </row>
    <row r="304" spans="1:11" ht="13.5" customHeight="1" x14ac:dyDescent="0.2">
      <c r="A304" s="200">
        <v>300</v>
      </c>
      <c r="B304" s="206" t="s">
        <v>383</v>
      </c>
      <c r="C304" s="336" t="s">
        <v>126</v>
      </c>
      <c r="D304" s="325">
        <v>0.22161850358259935</v>
      </c>
      <c r="E304" s="216">
        <v>0.22500303428221191</v>
      </c>
      <c r="F304" s="216">
        <v>0.1583802481051933</v>
      </c>
      <c r="G304" s="216">
        <v>0.23345481406370083</v>
      </c>
      <c r="H304" s="216">
        <v>0.14178856467285</v>
      </c>
      <c r="I304" s="216">
        <v>1.6553824440998871E-2</v>
      </c>
      <c r="J304" s="216">
        <v>3.2010108524458251E-3</v>
      </c>
      <c r="K304" s="204">
        <f t="shared" si="11"/>
        <v>1</v>
      </c>
    </row>
    <row r="305" spans="1:11" ht="13.5" customHeight="1" x14ac:dyDescent="0.2">
      <c r="A305" s="200">
        <v>301</v>
      </c>
      <c r="B305" s="206" t="s">
        <v>383</v>
      </c>
      <c r="C305" s="336" t="s">
        <v>394</v>
      </c>
      <c r="D305" s="325">
        <v>0.61457348492659947</v>
      </c>
      <c r="E305" s="216">
        <v>8.96696800803191E-2</v>
      </c>
      <c r="F305" s="216">
        <v>8.8622313877658329E-2</v>
      </c>
      <c r="G305" s="216">
        <v>0.10959627565372335</v>
      </c>
      <c r="H305" s="216">
        <v>9.753824546169966E-2</v>
      </c>
      <c r="I305" s="216">
        <v>0</v>
      </c>
      <c r="J305" s="216">
        <v>0</v>
      </c>
      <c r="K305" s="204">
        <f t="shared" si="11"/>
        <v>0.99999999999999978</v>
      </c>
    </row>
    <row r="306" spans="1:11" ht="13.5" customHeight="1" x14ac:dyDescent="0.2">
      <c r="A306" s="200">
        <v>302</v>
      </c>
      <c r="B306" s="206" t="s">
        <v>383</v>
      </c>
      <c r="C306" s="336" t="s">
        <v>153</v>
      </c>
      <c r="D306" s="325">
        <v>0.14960000000000001</v>
      </c>
      <c r="E306" s="216">
        <v>0.16650000000000001</v>
      </c>
      <c r="F306" s="216">
        <v>9.6799999999999997E-2</v>
      </c>
      <c r="G306" s="216">
        <v>0.188</v>
      </c>
      <c r="H306" s="216">
        <v>0.12640000000000001</v>
      </c>
      <c r="I306" s="216">
        <v>4.4499999999999998E-2</v>
      </c>
      <c r="J306" s="216">
        <v>0.22819999999999999</v>
      </c>
      <c r="K306" s="204">
        <f t="shared" si="11"/>
        <v>1</v>
      </c>
    </row>
    <row r="307" spans="1:11" ht="13.5" customHeight="1" x14ac:dyDescent="0.2">
      <c r="A307" s="200">
        <v>303</v>
      </c>
      <c r="B307" s="206" t="s">
        <v>383</v>
      </c>
      <c r="C307" s="338" t="s">
        <v>395</v>
      </c>
      <c r="D307" s="325">
        <v>0.14960000000000001</v>
      </c>
      <c r="E307" s="216">
        <v>0.16650000000000001</v>
      </c>
      <c r="F307" s="216">
        <v>9.6799999999999997E-2</v>
      </c>
      <c r="G307" s="216">
        <v>0.188</v>
      </c>
      <c r="H307" s="216">
        <v>0.12640000000000001</v>
      </c>
      <c r="I307" s="216">
        <v>4.4499999999999998E-2</v>
      </c>
      <c r="J307" s="216">
        <v>0.22819999999999999</v>
      </c>
      <c r="K307" s="204">
        <f t="shared" si="11"/>
        <v>1</v>
      </c>
    </row>
    <row r="308" spans="1:11" ht="13.5" customHeight="1" x14ac:dyDescent="0.2">
      <c r="A308" s="200">
        <v>304</v>
      </c>
      <c r="B308" s="206" t="s">
        <v>383</v>
      </c>
      <c r="C308" s="338" t="s">
        <v>396</v>
      </c>
      <c r="D308" s="325">
        <v>0.14960000000000001</v>
      </c>
      <c r="E308" s="216">
        <v>0.16650000000000001</v>
      </c>
      <c r="F308" s="216">
        <v>9.6799999999999997E-2</v>
      </c>
      <c r="G308" s="216">
        <v>0.188</v>
      </c>
      <c r="H308" s="216">
        <v>0.12640000000000001</v>
      </c>
      <c r="I308" s="216">
        <v>4.4499999999999998E-2</v>
      </c>
      <c r="J308" s="216">
        <v>0.22819999999999999</v>
      </c>
      <c r="K308" s="204">
        <f t="shared" si="11"/>
        <v>1</v>
      </c>
    </row>
    <row r="309" spans="1:11" ht="13.5" customHeight="1" x14ac:dyDescent="0.2">
      <c r="A309" s="200">
        <v>305</v>
      </c>
      <c r="B309" s="206" t="s">
        <v>383</v>
      </c>
      <c r="C309" s="336" t="s">
        <v>397</v>
      </c>
      <c r="D309" s="339">
        <v>0.59433174941701272</v>
      </c>
      <c r="E309" s="340">
        <v>3.8701747515945711E-2</v>
      </c>
      <c r="F309" s="340">
        <v>0.11841574525551953</v>
      </c>
      <c r="G309" s="340">
        <v>0.21693341318555845</v>
      </c>
      <c r="H309" s="340">
        <v>2.2494752807341974E-2</v>
      </c>
      <c r="I309" s="340">
        <v>8.8830693302861339E-3</v>
      </c>
      <c r="J309" s="340">
        <v>2.3952248833551473E-4</v>
      </c>
      <c r="K309" s="204">
        <f t="shared" si="11"/>
        <v>1</v>
      </c>
    </row>
    <row r="310" spans="1:11" ht="13.5" customHeight="1" x14ac:dyDescent="0.2">
      <c r="A310" s="200">
        <v>306</v>
      </c>
      <c r="B310" s="206" t="s">
        <v>383</v>
      </c>
      <c r="C310" s="337" t="s">
        <v>124</v>
      </c>
      <c r="D310" s="339">
        <v>0.20294520655559845</v>
      </c>
      <c r="E310" s="340">
        <v>0.21789575179423906</v>
      </c>
      <c r="F310" s="340">
        <v>0.12212981699133454</v>
      </c>
      <c r="G310" s="340">
        <v>0.24119047008691896</v>
      </c>
      <c r="H310" s="340">
        <v>0.16030933930489616</v>
      </c>
      <c r="I310" s="340">
        <v>5.5529415267012702E-2</v>
      </c>
      <c r="J310" s="340">
        <v>0</v>
      </c>
      <c r="K310" s="204">
        <f t="shared" si="11"/>
        <v>0.99999999999999978</v>
      </c>
    </row>
    <row r="311" spans="1:11" ht="13.5" customHeight="1" thickBot="1" x14ac:dyDescent="0.25">
      <c r="A311" s="200">
        <v>307</v>
      </c>
      <c r="B311" s="206" t="s">
        <v>383</v>
      </c>
      <c r="C311" s="341" t="s">
        <v>398</v>
      </c>
      <c r="D311" s="342">
        <v>0.29870129870129863</v>
      </c>
      <c r="E311" s="343">
        <v>0.11688311688311685</v>
      </c>
      <c r="F311" s="343">
        <v>0.11688311688311685</v>
      </c>
      <c r="G311" s="343">
        <v>0.29870129870129863</v>
      </c>
      <c r="H311" s="343">
        <v>0.11688311688311685</v>
      </c>
      <c r="I311" s="343">
        <v>3.8961038961038953E-2</v>
      </c>
      <c r="J311" s="343">
        <v>1.2987012987012984E-2</v>
      </c>
      <c r="K311" s="204">
        <f t="shared" si="11"/>
        <v>0.99999999999999978</v>
      </c>
    </row>
    <row r="312" spans="1:11" ht="13.5" customHeight="1" x14ac:dyDescent="0.2">
      <c r="A312" s="200">
        <v>308</v>
      </c>
      <c r="B312" s="206" t="s">
        <v>383</v>
      </c>
      <c r="C312" s="344" t="s">
        <v>399</v>
      </c>
      <c r="D312" s="334">
        <v>0.20459924531112836</v>
      </c>
      <c r="E312" s="334">
        <v>0.22434215911349825</v>
      </c>
      <c r="F312" s="334">
        <v>0.12698486941058826</v>
      </c>
      <c r="G312" s="334">
        <v>0.2497818348909131</v>
      </c>
      <c r="H312" s="334">
        <v>0.16549712844912001</v>
      </c>
      <c r="I312" s="334">
        <v>2.8794762824752029E-2</v>
      </c>
      <c r="J312" s="334">
        <v>0</v>
      </c>
      <c r="K312" s="204">
        <f t="shared" si="11"/>
        <v>1</v>
      </c>
    </row>
    <row r="313" spans="1:11" ht="13.5" customHeight="1" x14ac:dyDescent="0.2">
      <c r="A313" s="200">
        <v>309</v>
      </c>
      <c r="B313" s="206" t="s">
        <v>383</v>
      </c>
      <c r="C313" s="344" t="s">
        <v>400</v>
      </c>
      <c r="D313" s="334">
        <v>0.20459924531112836</v>
      </c>
      <c r="E313" s="334">
        <v>0.22434215911349825</v>
      </c>
      <c r="F313" s="334">
        <v>0.12698486941058826</v>
      </c>
      <c r="G313" s="334">
        <v>0.2497818348909131</v>
      </c>
      <c r="H313" s="334">
        <v>0.16549712844912001</v>
      </c>
      <c r="I313" s="334">
        <v>2.8794762824752029E-2</v>
      </c>
      <c r="J313" s="334">
        <v>0</v>
      </c>
      <c r="K313" s="204">
        <f t="shared" si="11"/>
        <v>1</v>
      </c>
    </row>
    <row r="314" spans="1:11" ht="13.5" customHeight="1" x14ac:dyDescent="0.2">
      <c r="A314" s="200">
        <v>310</v>
      </c>
      <c r="B314" s="345" t="s">
        <v>25</v>
      </c>
      <c r="C314" s="346" t="s">
        <v>87</v>
      </c>
      <c r="D314" s="278">
        <v>0.28689999999999999</v>
      </c>
      <c r="E314" s="279">
        <v>9.8599999999999993E-2</v>
      </c>
      <c r="F314" s="279">
        <v>0.1855</v>
      </c>
      <c r="G314" s="279">
        <v>0.39250000000000002</v>
      </c>
      <c r="H314" s="279">
        <v>1.5100000000000001E-2</v>
      </c>
      <c r="I314" s="279">
        <v>2.1399999999999999E-2</v>
      </c>
      <c r="J314" s="279">
        <v>0</v>
      </c>
      <c r="K314" s="204">
        <f t="shared" si="11"/>
        <v>1</v>
      </c>
    </row>
    <row r="315" spans="1:11" ht="13.5" customHeight="1" x14ac:dyDescent="0.2">
      <c r="A315" s="200">
        <v>311</v>
      </c>
      <c r="B315" s="345" t="s">
        <v>25</v>
      </c>
      <c r="C315" s="346" t="s">
        <v>86</v>
      </c>
      <c r="D315" s="278">
        <v>0.14960000000000001</v>
      </c>
      <c r="E315" s="279">
        <v>0.16650000000000001</v>
      </c>
      <c r="F315" s="279">
        <v>9.6799999999999997E-2</v>
      </c>
      <c r="G315" s="279">
        <v>0.188</v>
      </c>
      <c r="H315" s="279">
        <v>0.12640000000000001</v>
      </c>
      <c r="I315" s="279">
        <v>4.4499999999999998E-2</v>
      </c>
      <c r="J315" s="279">
        <v>0.22819999999999999</v>
      </c>
      <c r="K315" s="204">
        <f t="shared" si="11"/>
        <v>1</v>
      </c>
    </row>
    <row r="316" spans="1:11" ht="13.5" customHeight="1" x14ac:dyDescent="0.2">
      <c r="A316" s="200">
        <v>313</v>
      </c>
      <c r="B316" s="345" t="s">
        <v>25</v>
      </c>
      <c r="C316" s="346" t="s">
        <v>401</v>
      </c>
      <c r="D316" s="278">
        <v>0.26159832205592187</v>
      </c>
      <c r="E316" s="279">
        <v>0.16929937746017182</v>
      </c>
      <c r="F316" s="279">
        <v>0.21146148234807191</v>
      </c>
      <c r="G316" s="279">
        <v>0.23968571382707121</v>
      </c>
      <c r="H316" s="279">
        <v>0.10462854981034532</v>
      </c>
      <c r="I316" s="279">
        <v>1.208202099629796E-2</v>
      </c>
      <c r="J316" s="279">
        <v>1.2445335021200735E-3</v>
      </c>
      <c r="K316" s="204">
        <f t="shared" si="11"/>
        <v>1.0000000000000002</v>
      </c>
    </row>
    <row r="317" spans="1:11" ht="13.5" customHeight="1" x14ac:dyDescent="0.2">
      <c r="A317" s="200">
        <v>314</v>
      </c>
      <c r="B317" s="345" t="s">
        <v>25</v>
      </c>
      <c r="C317" s="346" t="s">
        <v>402</v>
      </c>
      <c r="D317" s="278">
        <v>0.14960000000000001</v>
      </c>
      <c r="E317" s="279">
        <v>0.16650000000000001</v>
      </c>
      <c r="F317" s="279">
        <v>9.6799999999999997E-2</v>
      </c>
      <c r="G317" s="279">
        <v>0.188</v>
      </c>
      <c r="H317" s="279">
        <v>0.12640000000000001</v>
      </c>
      <c r="I317" s="279">
        <v>4.4499999999999998E-2</v>
      </c>
      <c r="J317" s="279">
        <v>0.22819999999999999</v>
      </c>
      <c r="K317" s="204">
        <f t="shared" si="11"/>
        <v>1</v>
      </c>
    </row>
    <row r="318" spans="1:11" ht="13.5" customHeight="1" x14ac:dyDescent="0.2">
      <c r="A318" s="200">
        <v>315</v>
      </c>
      <c r="B318" s="345" t="s">
        <v>25</v>
      </c>
      <c r="C318" s="346" t="s">
        <v>50</v>
      </c>
      <c r="D318" s="278">
        <v>0.20843030773209206</v>
      </c>
      <c r="E318" s="279">
        <v>0.14546159813809156</v>
      </c>
      <c r="F318" s="279">
        <v>9.7362296353762617E-2</v>
      </c>
      <c r="G318" s="279">
        <v>0.18774243599689686</v>
      </c>
      <c r="H318" s="279">
        <v>2.9092319627618313E-2</v>
      </c>
      <c r="I318" s="279">
        <v>0.10796483061805018</v>
      </c>
      <c r="J318" s="279">
        <v>0.22394621153348851</v>
      </c>
      <c r="K318" s="204">
        <f t="shared" ref="K318:K320" si="12">SUM(D318:J318)</f>
        <v>1</v>
      </c>
    </row>
    <row r="319" spans="1:11" ht="13.5" customHeight="1" x14ac:dyDescent="0.2">
      <c r="A319" s="200">
        <v>316</v>
      </c>
      <c r="B319" s="345" t="s">
        <v>25</v>
      </c>
      <c r="C319" s="346" t="s">
        <v>85</v>
      </c>
      <c r="D319" s="278">
        <v>0.20843030773209206</v>
      </c>
      <c r="E319" s="279">
        <v>0.14546159813809156</v>
      </c>
      <c r="F319" s="279">
        <v>9.7362296353762617E-2</v>
      </c>
      <c r="G319" s="279">
        <v>0.18774243599689686</v>
      </c>
      <c r="H319" s="279">
        <v>2.9092319627618313E-2</v>
      </c>
      <c r="I319" s="279">
        <v>0.10796483061805018</v>
      </c>
      <c r="J319" s="279">
        <v>0.22394621153348851</v>
      </c>
      <c r="K319" s="204">
        <f t="shared" si="12"/>
        <v>1</v>
      </c>
    </row>
    <row r="320" spans="1:11" ht="13.5" customHeight="1" x14ac:dyDescent="0.2">
      <c r="A320" s="200">
        <v>317</v>
      </c>
      <c r="B320" s="345" t="s">
        <v>25</v>
      </c>
      <c r="C320" s="347" t="s">
        <v>84</v>
      </c>
      <c r="D320" s="278">
        <v>0.14960000000000001</v>
      </c>
      <c r="E320" s="279">
        <v>0.16650000000000001</v>
      </c>
      <c r="F320" s="279">
        <v>9.6799999999999997E-2</v>
      </c>
      <c r="G320" s="279">
        <v>0.188</v>
      </c>
      <c r="H320" s="279">
        <v>0.12640000000000001</v>
      </c>
      <c r="I320" s="279">
        <v>4.4499999999999998E-2</v>
      </c>
      <c r="J320" s="279">
        <v>0.22819999999999999</v>
      </c>
      <c r="K320" s="204">
        <f t="shared" si="12"/>
        <v>1</v>
      </c>
    </row>
    <row r="321" spans="1:11" ht="13.5" customHeight="1" x14ac:dyDescent="0.2">
      <c r="A321" s="200">
        <v>322</v>
      </c>
      <c r="B321" s="206" t="s">
        <v>24</v>
      </c>
      <c r="C321" s="348" t="s">
        <v>403</v>
      </c>
      <c r="D321" s="349">
        <v>0.14960000000000001</v>
      </c>
      <c r="E321" s="350">
        <v>0.16650000000000001</v>
      </c>
      <c r="F321" s="350">
        <v>9.6799999999999997E-2</v>
      </c>
      <c r="G321" s="350">
        <v>0.188</v>
      </c>
      <c r="H321" s="350">
        <v>0.12640000000000001</v>
      </c>
      <c r="I321" s="350">
        <v>4.4499999999999998E-2</v>
      </c>
      <c r="J321" s="350">
        <v>0.22819999999999999</v>
      </c>
      <c r="K321" s="204">
        <f>SUM(D321:J321)</f>
        <v>1</v>
      </c>
    </row>
    <row r="322" spans="1:11" ht="13.5" customHeight="1" x14ac:dyDescent="0.2">
      <c r="A322" s="200">
        <v>323</v>
      </c>
      <c r="B322" s="206" t="s">
        <v>24</v>
      </c>
      <c r="C322" s="348" t="s">
        <v>404</v>
      </c>
      <c r="D322" s="278">
        <v>0.20459924531112836</v>
      </c>
      <c r="E322" s="279">
        <v>0.22434215911349825</v>
      </c>
      <c r="F322" s="279">
        <v>0.12698486941058826</v>
      </c>
      <c r="G322" s="279">
        <v>0.2497818348909131</v>
      </c>
      <c r="H322" s="279">
        <v>0.16549712844912001</v>
      </c>
      <c r="I322" s="279">
        <v>2.8794762824752029E-2</v>
      </c>
      <c r="J322" s="279">
        <v>0</v>
      </c>
      <c r="K322" s="204">
        <f>SUM(D322:J322)</f>
        <v>1</v>
      </c>
    </row>
    <row r="323" spans="1:11" x14ac:dyDescent="0.2">
      <c r="A323" s="191">
        <v>324</v>
      </c>
      <c r="C323" s="189" t="s">
        <v>581</v>
      </c>
      <c r="D323" s="730">
        <v>0.19832842949127968</v>
      </c>
      <c r="E323" s="730">
        <v>0.23077907125495714</v>
      </c>
      <c r="F323" s="730">
        <v>8.9377851690759458E-2</v>
      </c>
      <c r="G323" s="730">
        <v>0.10754338834164855</v>
      </c>
      <c r="H323" s="730">
        <v>4.9294273165323442E-2</v>
      </c>
      <c r="I323" s="730">
        <v>5.2876209969724107E-2</v>
      </c>
      <c r="J323" s="730">
        <v>0.27180077608630759</v>
      </c>
      <c r="K323" s="730">
        <f t="shared" ref="K323" si="13">SUM(D323:J323)</f>
        <v>1</v>
      </c>
    </row>
  </sheetData>
  <autoFilter ref="A3:V322"/>
  <pageMargins left="0.75" right="0.75" top="0.18" bottom="0.25" header="0.5" footer="0.5"/>
  <pageSetup paperSize="9" scale="38" fitToHeight="2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K30"/>
  <sheetViews>
    <sheetView zoomScale="80" zoomScaleNormal="80" workbookViewId="0">
      <selection sqref="A1:J27"/>
    </sheetView>
  </sheetViews>
  <sheetFormatPr defaultRowHeight="15" x14ac:dyDescent="0.25"/>
  <cols>
    <col min="1" max="1" width="69.140625" customWidth="1"/>
    <col min="2" max="2" width="15.140625" customWidth="1"/>
    <col min="3" max="9" width="15.85546875" customWidth="1"/>
    <col min="10" max="10" width="18.28515625" customWidth="1"/>
    <col min="11" max="11" width="19.140625" bestFit="1" customWidth="1"/>
  </cols>
  <sheetData>
    <row r="1" spans="1:10" ht="46.5" customHeight="1" thickBot="1" x14ac:dyDescent="0.4">
      <c r="A1" s="779" t="s">
        <v>537</v>
      </c>
      <c r="B1" s="779"/>
      <c r="C1" s="779"/>
      <c r="D1" s="779"/>
      <c r="E1" s="779"/>
      <c r="F1" s="779"/>
      <c r="G1" s="779"/>
      <c r="H1" s="779"/>
      <c r="I1" s="779"/>
      <c r="J1" s="779"/>
    </row>
    <row r="2" spans="1:10" ht="18.75" customHeight="1" thickBot="1" x14ac:dyDescent="0.3">
      <c r="A2" s="580"/>
      <c r="B2" s="496"/>
      <c r="C2" s="774"/>
      <c r="D2" s="775"/>
      <c r="E2" s="775"/>
      <c r="F2" s="775"/>
      <c r="G2" s="775"/>
      <c r="H2" s="775"/>
      <c r="I2" s="775"/>
      <c r="J2" s="776"/>
    </row>
    <row r="3" spans="1:10" ht="75.75" customHeight="1" thickBot="1" x14ac:dyDescent="0.3">
      <c r="A3" s="580"/>
      <c r="B3" s="497"/>
      <c r="C3" s="362" t="s">
        <v>436</v>
      </c>
      <c r="D3" s="1" t="s">
        <v>437</v>
      </c>
      <c r="E3" s="1" t="s">
        <v>438</v>
      </c>
      <c r="F3" s="1" t="s">
        <v>439</v>
      </c>
      <c r="G3" s="1" t="s">
        <v>441</v>
      </c>
      <c r="H3" s="1" t="s">
        <v>442</v>
      </c>
      <c r="I3" s="582" t="s">
        <v>440</v>
      </c>
      <c r="J3" s="579" t="s">
        <v>443</v>
      </c>
    </row>
    <row r="4" spans="1:10" ht="20.25" customHeight="1" thickBot="1" x14ac:dyDescent="0.3">
      <c r="A4" s="581"/>
      <c r="B4" s="495" t="s">
        <v>156</v>
      </c>
      <c r="C4" s="656" t="s">
        <v>9</v>
      </c>
      <c r="D4" s="657" t="s">
        <v>9</v>
      </c>
      <c r="E4" s="657" t="s">
        <v>9</v>
      </c>
      <c r="F4" s="657" t="s">
        <v>9</v>
      </c>
      <c r="G4" s="657" t="s">
        <v>9</v>
      </c>
      <c r="H4" s="657" t="s">
        <v>9</v>
      </c>
      <c r="I4" s="658" t="s">
        <v>9</v>
      </c>
      <c r="J4" s="659" t="s">
        <v>9</v>
      </c>
    </row>
    <row r="5" spans="1:10" ht="22.5" customHeight="1" x14ac:dyDescent="0.25">
      <c r="A5" s="636" t="s">
        <v>409</v>
      </c>
      <c r="B5" s="650" t="s">
        <v>405</v>
      </c>
      <c r="C5" s="595">
        <v>97.584000000000003</v>
      </c>
      <c r="D5" s="596">
        <v>106.04300000000001</v>
      </c>
      <c r="E5" s="596">
        <v>121.548</v>
      </c>
      <c r="F5" s="596">
        <v>98.542000000000002</v>
      </c>
      <c r="G5" s="596">
        <v>50.768000000000001</v>
      </c>
      <c r="H5" s="596">
        <v>60.136000000000003</v>
      </c>
      <c r="I5" s="597">
        <v>21.963999999999999</v>
      </c>
      <c r="J5" s="586">
        <f>SUM(C5:I5)</f>
        <v>556.58500000000004</v>
      </c>
    </row>
    <row r="6" spans="1:10" ht="11.25" hidden="1" customHeight="1" x14ac:dyDescent="0.25">
      <c r="A6" s="637"/>
      <c r="B6" s="651"/>
      <c r="C6" s="599"/>
      <c r="D6" s="600"/>
      <c r="E6" s="600"/>
      <c r="F6" s="601"/>
      <c r="G6" s="602"/>
      <c r="H6" s="600"/>
      <c r="I6" s="603"/>
      <c r="J6" s="587"/>
    </row>
    <row r="7" spans="1:10" ht="24" customHeight="1" x14ac:dyDescent="0.3">
      <c r="A7" s="638" t="s">
        <v>410</v>
      </c>
      <c r="B7" s="652" t="s">
        <v>183</v>
      </c>
      <c r="C7" s="605">
        <f>'Table 3 - Rollover Baseline'!K11</f>
        <v>-0.412464</v>
      </c>
      <c r="D7" s="606">
        <f>'Table 3 - Rollover Baseline'!L11</f>
        <v>-0.72421999999999997</v>
      </c>
      <c r="E7" s="606">
        <f>'Table 3 - Rollover Baseline'!M11</f>
        <v>-2.9507490000000001</v>
      </c>
      <c r="F7" s="606">
        <f>'Table 3 - Rollover Baseline'!N11</f>
        <v>-0.32805600000000001</v>
      </c>
      <c r="G7" s="606">
        <f>'Table 3 - Rollover Baseline'!O11</f>
        <v>-0.27219900000000002</v>
      </c>
      <c r="H7" s="606">
        <f>'Table 3 - Rollover Baseline'!P11</f>
        <v>-4.6155000000000002E-2</v>
      </c>
      <c r="I7" s="607">
        <f>'Table 3 - Rollover Baseline'!Q11</f>
        <v>-0.56548600000000004</v>
      </c>
      <c r="J7" s="588">
        <f>SUM(C7:I7)</f>
        <v>-5.2993289999999993</v>
      </c>
    </row>
    <row r="8" spans="1:10" ht="24" customHeight="1" x14ac:dyDescent="0.3">
      <c r="A8" s="633" t="s">
        <v>412</v>
      </c>
      <c r="B8" s="653" t="s">
        <v>183</v>
      </c>
      <c r="C8" s="609">
        <f>'Table 3 - Rollover Baseline'!K12</f>
        <v>0.47789799999999999</v>
      </c>
      <c r="D8" s="610">
        <f>'Table 3 - Rollover Baseline'!L12</f>
        <v>0.166994</v>
      </c>
      <c r="E8" s="610">
        <f>'Table 3 - Rollover Baseline'!M12</f>
        <v>2.886676</v>
      </c>
      <c r="F8" s="610">
        <f>'Table 3 - Rollover Baseline'!N12</f>
        <v>0.57851399999999997</v>
      </c>
      <c r="G8" s="610">
        <f>'Table 3 - Rollover Baseline'!O12</f>
        <v>0.367456</v>
      </c>
      <c r="H8" s="610">
        <f>'Table 3 - Rollover Baseline'!P12</f>
        <v>0.31785799999999997</v>
      </c>
      <c r="I8" s="611">
        <f>'Table 3 - Rollover Baseline'!Q12</f>
        <v>0.21767900000000001</v>
      </c>
      <c r="J8" s="589">
        <f>SUM(C8:I8)</f>
        <v>5.0130750000000006</v>
      </c>
    </row>
    <row r="9" spans="1:10" ht="24" customHeight="1" x14ac:dyDescent="0.3">
      <c r="A9" s="633" t="s">
        <v>411</v>
      </c>
      <c r="B9" s="653" t="s">
        <v>183</v>
      </c>
      <c r="C9" s="609">
        <f>'Table 3 - Rollover Baseline'!K13</f>
        <v>0.36160059301180886</v>
      </c>
      <c r="D9" s="610">
        <f>'Table 3 - Rollover Baseline'!L13</f>
        <v>0.53359824576183301</v>
      </c>
      <c r="E9" s="610">
        <f>'Table 3 - Rollover Baseline'!M13</f>
        <v>3.5009160855704935</v>
      </c>
      <c r="F9" s="610">
        <f>'Table 3 - Rollover Baseline'!N13</f>
        <v>0.47672359696522659</v>
      </c>
      <c r="G9" s="610">
        <f>'Table 3 - Rollover Baseline'!O13</f>
        <v>0.19880764851190785</v>
      </c>
      <c r="H9" s="610">
        <f>'Table 3 - Rollover Baseline'!P13</f>
        <v>0.23181985175169237</v>
      </c>
      <c r="I9" s="611">
        <f>'Table 3 - Rollover Baseline'!Q13</f>
        <v>0.54585442353814784</v>
      </c>
      <c r="J9" s="589">
        <f>SUM(C9:I9)</f>
        <v>5.8493204451111094</v>
      </c>
    </row>
    <row r="10" spans="1:10" ht="24" customHeight="1" x14ac:dyDescent="0.3">
      <c r="A10" s="638" t="s">
        <v>10</v>
      </c>
      <c r="B10" s="652" t="s">
        <v>183</v>
      </c>
      <c r="C10" s="605">
        <f>'Table 3 - Rollover Baseline'!K14</f>
        <v>0.50440799999999997</v>
      </c>
      <c r="D10" s="606">
        <f>'Table 3 - Rollover Baseline'!L14</f>
        <v>1.2289650000000001</v>
      </c>
      <c r="E10" s="606">
        <f>'Table 3 - Rollover Baseline'!M14</f>
        <v>1.794098</v>
      </c>
      <c r="F10" s="606">
        <f>'Table 3 - Rollover Baseline'!N14</f>
        <v>0.56661399999999995</v>
      </c>
      <c r="G10" s="606">
        <f>'Table 3 - Rollover Baseline'!O14</f>
        <v>0.22872200000000001</v>
      </c>
      <c r="H10" s="606">
        <f>'Table 3 - Rollover Baseline'!P14</f>
        <v>0.28689100000000001</v>
      </c>
      <c r="I10" s="607">
        <f>'Table 3 - Rollover Baseline'!Q14</f>
        <v>0.55867500000000003</v>
      </c>
      <c r="J10" s="588">
        <f t="shared" ref="J10:J14" si="0">SUM(C10:I10)</f>
        <v>5.1683729999999999</v>
      </c>
    </row>
    <row r="11" spans="1:10" ht="24" customHeight="1" x14ac:dyDescent="0.3">
      <c r="A11" s="638" t="s">
        <v>11</v>
      </c>
      <c r="B11" s="652" t="s">
        <v>12</v>
      </c>
      <c r="C11" s="605">
        <f>'Table 3 - Rollover Baseline'!K143</f>
        <v>0.63438880079703097</v>
      </c>
      <c r="D11" s="606">
        <f>'Table 3 - Rollover Baseline'!L143</f>
        <v>0.67427772860837509</v>
      </c>
      <c r="E11" s="606">
        <f>'Table 3 - Rollover Baseline'!M143</f>
        <v>1.1760226286250046</v>
      </c>
      <c r="F11" s="606">
        <f>'Table 3 - Rollover Baseline'!N143</f>
        <v>1.4980767328949287</v>
      </c>
      <c r="G11" s="606">
        <f>'Table 3 - Rollover Baseline'!O143</f>
        <v>0.76425571328735564</v>
      </c>
      <c r="H11" s="606">
        <f>'Table 3 - Rollover Baseline'!P143</f>
        <v>0.49129994262964405</v>
      </c>
      <c r="I11" s="607">
        <f>'Table 3 - Rollover Baseline'!Q143</f>
        <v>0.22782435191936423</v>
      </c>
      <c r="J11" s="588">
        <f t="shared" si="0"/>
        <v>5.4661458987617033</v>
      </c>
    </row>
    <row r="12" spans="1:10" ht="24" customHeight="1" x14ac:dyDescent="0.3">
      <c r="A12" s="638" t="s">
        <v>435</v>
      </c>
      <c r="B12" s="652" t="s">
        <v>13</v>
      </c>
      <c r="C12" s="605">
        <f>'Table 3 - Rollover Baseline'!K156</f>
        <v>0.21198703790206852</v>
      </c>
      <c r="D12" s="606">
        <f>'Table 3 - Rollover Baseline'!L156</f>
        <v>0.2393046829974172</v>
      </c>
      <c r="E12" s="606">
        <f>'Table 3 - Rollover Baseline'!M156</f>
        <v>7.0462479545717799E-2</v>
      </c>
      <c r="F12" s="606">
        <f>'Table 3 - Rollover Baseline'!N156</f>
        <v>0.22144195281113666</v>
      </c>
      <c r="G12" s="606">
        <f>'Table 3 - Rollover Baseline'!O156</f>
        <v>0.1236644613553336</v>
      </c>
      <c r="H12" s="606">
        <f>'Table 3 - Rollover Baseline'!P156</f>
        <v>0.14673265456544993</v>
      </c>
      <c r="I12" s="607">
        <f>'Table 3 - Rollover Baseline'!Q156</f>
        <v>4.1606730822876359E-2</v>
      </c>
      <c r="J12" s="588">
        <f t="shared" si="0"/>
        <v>1.0552000000000001</v>
      </c>
    </row>
    <row r="13" spans="1:10" ht="24" customHeight="1" x14ac:dyDescent="0.3">
      <c r="A13" s="638" t="s">
        <v>433</v>
      </c>
      <c r="B13" s="652" t="s">
        <v>189</v>
      </c>
      <c r="C13" s="605">
        <f>'Table 6 - Growth'!K23+'Table 6 - Growth'!K32</f>
        <v>1.026103665119642</v>
      </c>
      <c r="D13" s="606">
        <f>'Table 6 - Growth'!L23+'Table 6 - Growth'!L32</f>
        <v>1.3831418340354551</v>
      </c>
      <c r="E13" s="606">
        <f>'Table 6 - Growth'!M23+'Table 6 - Growth'!M32</f>
        <v>1.175534645125802</v>
      </c>
      <c r="F13" s="606">
        <f>'Table 6 - Growth'!N23+'Table 6 - Growth'!N32</f>
        <v>1.0097933050188606</v>
      </c>
      <c r="G13" s="606">
        <f>'Table 6 - Growth'!O23+'Table 6 - Growth'!O32</f>
        <v>0.76102697110514805</v>
      </c>
      <c r="H13" s="606">
        <f>'Table 6 - Growth'!P23+'Table 6 - Growth'!P32</f>
        <v>0.73010657496176479</v>
      </c>
      <c r="I13" s="607">
        <f>'Table 6 - Growth'!Q23+'Table 6 - Growth'!Q32</f>
        <v>0.20629300463332823</v>
      </c>
      <c r="J13" s="588">
        <f t="shared" si="0"/>
        <v>6.2920000000000007</v>
      </c>
    </row>
    <row r="14" spans="1:10" ht="24" customHeight="1" x14ac:dyDescent="0.25">
      <c r="A14" s="639" t="s">
        <v>481</v>
      </c>
      <c r="B14" s="654" t="s">
        <v>482</v>
      </c>
      <c r="C14" s="613">
        <f>'Table 7 - Horizon Scanning'!K15+'Table 7 - Horizon Scanning'!K25</f>
        <v>0.1598</v>
      </c>
      <c r="D14" s="614">
        <f>'Table 7 - Horizon Scanning'!L15+'Table 7 - Horizon Scanning'!L25</f>
        <v>0.35160000000000002</v>
      </c>
      <c r="E14" s="614">
        <f>'Table 7 - Horizon Scanning'!M15+'Table 7 - Horizon Scanning'!M25</f>
        <v>0.13691999999999999</v>
      </c>
      <c r="F14" s="614">
        <f>'Table 7 - Horizon Scanning'!N15+'Table 7 - Horizon Scanning'!N25</f>
        <v>0.26436000000000004</v>
      </c>
      <c r="G14" s="614">
        <f>'Table 7 - Horizon Scanning'!O15+'Table 7 - Horizon Scanning'!O25</f>
        <v>0.17108000000000001</v>
      </c>
      <c r="H14" s="614">
        <f>'Table 7 - Horizon Scanning'!P15+'Table 7 - Horizon Scanning'!P25</f>
        <v>8.4839999999999999E-2</v>
      </c>
      <c r="I14" s="615">
        <f>'Table 7 - Horizon Scanning'!Q15+'Table 7 - Horizon Scanning'!Q25</f>
        <v>3.9699999999999999E-2</v>
      </c>
      <c r="J14" s="588">
        <f t="shared" si="0"/>
        <v>1.2083000000000002</v>
      </c>
    </row>
    <row r="15" spans="1:10" ht="24" customHeight="1" thickBot="1" x14ac:dyDescent="0.35">
      <c r="A15" s="640" t="s">
        <v>434</v>
      </c>
      <c r="B15" s="655" t="s">
        <v>147</v>
      </c>
      <c r="C15" s="616">
        <f>'Table 5 - VBC Workstreams'!K21</f>
        <v>-0.67769345558328586</v>
      </c>
      <c r="D15" s="617">
        <f>'Table 5 - VBC Workstreams'!L21</f>
        <v>-0.72697496515635651</v>
      </c>
      <c r="E15" s="617">
        <f>'Table 5 - VBC Workstreams'!M21</f>
        <v>-0.73495211555103834</v>
      </c>
      <c r="F15" s="617">
        <f>'Table 5 - VBC Workstreams'!N21</f>
        <v>-0.6702022844602139</v>
      </c>
      <c r="G15" s="617">
        <f>'Table 5 - VBC Workstreams'!O21</f>
        <v>-0.44165682611144352</v>
      </c>
      <c r="H15" s="617">
        <f>'Table 5 - VBC Workstreams'!P21</f>
        <v>-0.29911559907995644</v>
      </c>
      <c r="I15" s="618">
        <f>'Table 5 - VBC Workstreams'!Q21</f>
        <v>-0.19619075405770528</v>
      </c>
      <c r="J15" s="590">
        <f>SUM(C15:I15)</f>
        <v>-3.7467859999999993</v>
      </c>
    </row>
    <row r="16" spans="1:10" ht="25.5" customHeight="1" thickBot="1" x14ac:dyDescent="0.35">
      <c r="A16" s="594" t="s">
        <v>406</v>
      </c>
      <c r="B16" s="474"/>
      <c r="C16" s="620">
        <f>SUM(C7:C15)</f>
        <v>2.286028641247265</v>
      </c>
      <c r="D16" s="621">
        <f t="shared" ref="D16:I16" si="1">SUM(D7:D15)</f>
        <v>3.1266865262467238</v>
      </c>
      <c r="E16" s="621">
        <f t="shared" si="1"/>
        <v>7.0549287233159799</v>
      </c>
      <c r="F16" s="621">
        <f t="shared" si="1"/>
        <v>3.6172653032299382</v>
      </c>
      <c r="G16" s="621">
        <f t="shared" si="1"/>
        <v>1.9011569681483016</v>
      </c>
      <c r="H16" s="621">
        <f t="shared" si="1"/>
        <v>1.9442774248285946</v>
      </c>
      <c r="I16" s="622">
        <f t="shared" si="1"/>
        <v>1.0759557568560114</v>
      </c>
      <c r="J16" s="591">
        <f>SUM(C16:I16)</f>
        <v>21.006299343872815</v>
      </c>
    </row>
    <row r="17" spans="1:11" ht="25.5" hidden="1" customHeight="1" thickBot="1" x14ac:dyDescent="0.35">
      <c r="A17" s="635" t="s">
        <v>525</v>
      </c>
      <c r="B17" s="520"/>
      <c r="C17" s="624">
        <f>C16/C5</f>
        <v>2.3426264974250544E-2</v>
      </c>
      <c r="D17" s="625">
        <f t="shared" ref="D17:I17" si="2">D16/D5</f>
        <v>2.9485081771043101E-2</v>
      </c>
      <c r="E17" s="625">
        <f t="shared" si="2"/>
        <v>5.8042326680126204E-2</v>
      </c>
      <c r="F17" s="625">
        <f t="shared" si="2"/>
        <v>3.6707853536866904E-2</v>
      </c>
      <c r="G17" s="625">
        <f t="shared" si="2"/>
        <v>3.74479390196246E-2</v>
      </c>
      <c r="H17" s="625">
        <f t="shared" si="2"/>
        <v>3.2331339377886695E-2</v>
      </c>
      <c r="I17" s="626">
        <f t="shared" si="2"/>
        <v>4.8987240796576736E-2</v>
      </c>
      <c r="J17" s="592">
        <f>J16/J5</f>
        <v>3.7741403997363948E-2</v>
      </c>
    </row>
    <row r="18" spans="1:11" ht="25.5" customHeight="1" thickBot="1" x14ac:dyDescent="0.35">
      <c r="A18" s="634" t="s">
        <v>522</v>
      </c>
      <c r="B18" s="351" t="s">
        <v>154</v>
      </c>
      <c r="C18" s="628">
        <f>'Table 9 - CIAG Schemes'!I22</f>
        <v>0.57704656956410694</v>
      </c>
      <c r="D18" s="629">
        <f>'Table 9 - CIAG Schemes'!J22</f>
        <v>0.64489788264217141</v>
      </c>
      <c r="E18" s="629">
        <f>'Table 9 - CIAG Schemes'!K22</f>
        <v>0.33567732759784186</v>
      </c>
      <c r="F18" s="629">
        <f>'Table 9 - CIAG Schemes'!L22</f>
        <v>0.56188339119056063</v>
      </c>
      <c r="G18" s="629">
        <f>'Table 9 - CIAG Schemes'!M22</f>
        <v>0.33289964887074353</v>
      </c>
      <c r="H18" s="629">
        <f>'Table 9 - CIAG Schemes'!N22</f>
        <v>0.41147857701789198</v>
      </c>
      <c r="I18" s="630">
        <f>'Table 9 - CIAG Schemes'!O22</f>
        <v>9.7116603116684019E-2</v>
      </c>
      <c r="J18" s="593">
        <f>SUM(C18:I18)</f>
        <v>2.9610000000000003</v>
      </c>
    </row>
    <row r="19" spans="1:11" ht="25.5" customHeight="1" thickBot="1" x14ac:dyDescent="0.35">
      <c r="A19" s="594" t="s">
        <v>535</v>
      </c>
      <c r="B19" s="474"/>
      <c r="C19" s="620">
        <f>C16+C18</f>
        <v>2.8630752108113722</v>
      </c>
      <c r="D19" s="621">
        <f t="shared" ref="D19:I19" si="3">D16+D18</f>
        <v>3.771584408888895</v>
      </c>
      <c r="E19" s="621">
        <f t="shared" si="3"/>
        <v>7.3906060509138216</v>
      </c>
      <c r="F19" s="621">
        <f t="shared" si="3"/>
        <v>4.1791486944204985</v>
      </c>
      <c r="G19" s="621">
        <f t="shared" si="3"/>
        <v>2.234056617019045</v>
      </c>
      <c r="H19" s="621">
        <f t="shared" si="3"/>
        <v>2.3557560018464865</v>
      </c>
      <c r="I19" s="622">
        <f t="shared" si="3"/>
        <v>1.1730723599726955</v>
      </c>
      <c r="J19" s="591">
        <f>SUM(C19:I19)</f>
        <v>23.967299343872817</v>
      </c>
    </row>
    <row r="20" spans="1:11" ht="25.5" customHeight="1" thickBot="1" x14ac:dyDescent="0.35">
      <c r="A20" s="594" t="s">
        <v>534</v>
      </c>
      <c r="B20" s="474"/>
      <c r="C20" s="620">
        <f>C19+C5</f>
        <v>100.44707521081138</v>
      </c>
      <c r="D20" s="621">
        <f t="shared" ref="D20:I20" si="4">D19+D5</f>
        <v>109.8145844088889</v>
      </c>
      <c r="E20" s="621">
        <f t="shared" si="4"/>
        <v>128.93860605091382</v>
      </c>
      <c r="F20" s="621">
        <f t="shared" si="4"/>
        <v>102.72114869442051</v>
      </c>
      <c r="G20" s="621">
        <f t="shared" si="4"/>
        <v>53.002056617019043</v>
      </c>
      <c r="H20" s="621">
        <f t="shared" si="4"/>
        <v>62.49175600184649</v>
      </c>
      <c r="I20" s="622">
        <f t="shared" si="4"/>
        <v>23.137072359972695</v>
      </c>
      <c r="J20" s="591">
        <f>SUM(C20:I20)</f>
        <v>580.55229934387273</v>
      </c>
    </row>
    <row r="21" spans="1:11" ht="25.5" customHeight="1" thickBot="1" x14ac:dyDescent="0.35">
      <c r="A21" s="635" t="s">
        <v>526</v>
      </c>
      <c r="B21" s="520"/>
      <c r="C21" s="624">
        <f t="shared" ref="C21:J21" si="5">C19/C5</f>
        <v>2.9339596765979793E-2</v>
      </c>
      <c r="D21" s="625">
        <f t="shared" si="5"/>
        <v>3.5566557046565021E-2</v>
      </c>
      <c r="E21" s="625">
        <f t="shared" si="5"/>
        <v>6.0804012002779323E-2</v>
      </c>
      <c r="F21" s="625">
        <f t="shared" si="5"/>
        <v>4.2409822151169028E-2</v>
      </c>
      <c r="G21" s="625">
        <f t="shared" si="5"/>
        <v>4.4005212279763728E-2</v>
      </c>
      <c r="H21" s="625">
        <f t="shared" si="5"/>
        <v>3.9173806070348649E-2</v>
      </c>
      <c r="I21" s="626">
        <f t="shared" si="5"/>
        <v>5.3408867236054251E-2</v>
      </c>
      <c r="J21" s="627">
        <f t="shared" si="5"/>
        <v>4.3061346144565187E-2</v>
      </c>
    </row>
    <row r="22" spans="1:11" ht="25.5" customHeight="1" thickBot="1" x14ac:dyDescent="0.4">
      <c r="A22" s="632" t="s">
        <v>536</v>
      </c>
      <c r="C22" s="632"/>
      <c r="D22" s="632"/>
      <c r="E22" s="632"/>
      <c r="F22" s="632"/>
      <c r="G22" s="632"/>
      <c r="H22" s="632"/>
      <c r="I22" s="632"/>
    </row>
    <row r="23" spans="1:11" ht="25.5" customHeight="1" thickBot="1" x14ac:dyDescent="0.35">
      <c r="A23" s="578" t="s">
        <v>514</v>
      </c>
      <c r="B23" s="351" t="s">
        <v>155</v>
      </c>
      <c r="C23" s="628">
        <f>'Table 9 - CIAG Schemes'!I32</f>
        <v>0.21709181379808518</v>
      </c>
      <c r="D23" s="629">
        <f>'Table 9 - CIAG Schemes'!J32</f>
        <v>0.21445094428356651</v>
      </c>
      <c r="E23" s="629">
        <f>'Table 9 - CIAG Schemes'!K32</f>
        <v>6.8843146092875604E-2</v>
      </c>
      <c r="F23" s="629">
        <f>'Table 9 - CIAG Schemes'!L32</f>
        <v>0.19656115625678855</v>
      </c>
      <c r="G23" s="629">
        <f>'Table 9 - CIAG Schemes'!M32</f>
        <v>0.13894477088972632</v>
      </c>
      <c r="H23" s="629">
        <f>'Table 9 - CIAG Schemes'!N32</f>
        <v>0.13071378343654574</v>
      </c>
      <c r="I23" s="630">
        <f>'Table 9 - CIAG Schemes'!O32</f>
        <v>2.8394385242411994E-2</v>
      </c>
      <c r="J23" s="631">
        <f t="shared" ref="J23:J26" si="6">SUM(C23:I23)</f>
        <v>0.99499999999999977</v>
      </c>
    </row>
    <row r="24" spans="1:11" ht="25.5" hidden="1" customHeight="1" thickBot="1" x14ac:dyDescent="0.35">
      <c r="A24" s="475" t="s">
        <v>527</v>
      </c>
      <c r="B24" s="474"/>
      <c r="C24" s="620">
        <f>C23+C19</f>
        <v>3.0801670246094575</v>
      </c>
      <c r="D24" s="621">
        <f t="shared" ref="D24:I24" si="7">D23+D19</f>
        <v>3.9860353531724617</v>
      </c>
      <c r="E24" s="621">
        <f t="shared" si="7"/>
        <v>7.4594491970066974</v>
      </c>
      <c r="F24" s="621">
        <f t="shared" si="7"/>
        <v>4.3757098506772873</v>
      </c>
      <c r="G24" s="621">
        <f t="shared" si="7"/>
        <v>2.3730013879087712</v>
      </c>
      <c r="H24" s="621">
        <f t="shared" si="7"/>
        <v>2.4864697852830324</v>
      </c>
      <c r="I24" s="622">
        <f t="shared" si="7"/>
        <v>1.2014667452151075</v>
      </c>
      <c r="J24" s="623">
        <f>SUM(C24:I24)</f>
        <v>24.962299343872814</v>
      </c>
    </row>
    <row r="25" spans="1:11" ht="25.5" hidden="1" customHeight="1" thickBot="1" x14ac:dyDescent="0.35">
      <c r="A25" s="577" t="s">
        <v>516</v>
      </c>
      <c r="B25" s="520"/>
      <c r="C25" s="624">
        <f t="shared" ref="C25:J25" si="8">C24/C5</f>
        <v>3.1564262836217591E-2</v>
      </c>
      <c r="D25" s="625">
        <f t="shared" si="8"/>
        <v>3.7588858794757422E-2</v>
      </c>
      <c r="E25" s="625">
        <f t="shared" si="8"/>
        <v>6.1370398501058819E-2</v>
      </c>
      <c r="F25" s="625">
        <f t="shared" si="8"/>
        <v>4.4404516355232154E-2</v>
      </c>
      <c r="G25" s="625">
        <f t="shared" si="8"/>
        <v>4.6742069569586576E-2</v>
      </c>
      <c r="H25" s="625">
        <f t="shared" si="8"/>
        <v>4.1347442219020758E-2</v>
      </c>
      <c r="I25" s="626">
        <f t="shared" si="8"/>
        <v>5.4701636551407196E-2</v>
      </c>
      <c r="J25" s="627">
        <f t="shared" si="8"/>
        <v>4.4849033559784784E-2</v>
      </c>
    </row>
    <row r="26" spans="1:11" ht="28.5" customHeight="1" thickBot="1" x14ac:dyDescent="0.35">
      <c r="A26" s="578" t="s">
        <v>515</v>
      </c>
      <c r="B26" s="351" t="s">
        <v>187</v>
      </c>
      <c r="C26" s="628">
        <f>'Table 9 - CIAG Schemes'!I50</f>
        <v>1.8410526898631103</v>
      </c>
      <c r="D26" s="629">
        <f>'Table 9 - CIAG Schemes'!J50</f>
        <v>0.42751679588476421</v>
      </c>
      <c r="E26" s="629">
        <f>'Table 9 - CIAG Schemes'!K50</f>
        <v>0.16025239226695237</v>
      </c>
      <c r="F26" s="629">
        <f>'Table 9 - CIAG Schemes'!L50</f>
        <v>0.58854865565681658</v>
      </c>
      <c r="G26" s="629">
        <f>'Table 9 - CIAG Schemes'!M50</f>
        <v>0.42651458922228203</v>
      </c>
      <c r="H26" s="629">
        <f>'Table 9 - CIAG Schemes'!N50</f>
        <v>0.92991875047501593</v>
      </c>
      <c r="I26" s="630">
        <f>'Table 9 - CIAG Schemes'!O50</f>
        <v>0.11019612663105792</v>
      </c>
      <c r="J26" s="631">
        <f t="shared" si="6"/>
        <v>4.484</v>
      </c>
    </row>
    <row r="27" spans="1:11" x14ac:dyDescent="0.25">
      <c r="A27" s="130"/>
      <c r="B27" s="130"/>
      <c r="C27" s="130"/>
      <c r="D27" s="130"/>
      <c r="E27" s="130"/>
      <c r="F27" s="130"/>
      <c r="G27" s="130"/>
      <c r="H27" s="130"/>
      <c r="I27" s="130"/>
      <c r="J27" s="130"/>
    </row>
    <row r="28" spans="1:11" x14ac:dyDescent="0.25">
      <c r="A28" s="130"/>
      <c r="B28" s="130"/>
      <c r="C28" s="130"/>
      <c r="D28" s="130"/>
      <c r="E28" s="130"/>
      <c r="F28" s="130"/>
      <c r="G28" s="130"/>
      <c r="H28" s="130"/>
      <c r="I28" s="130"/>
      <c r="J28" s="130"/>
    </row>
    <row r="29" spans="1:11" x14ac:dyDescent="0.25">
      <c r="A29" s="130"/>
      <c r="B29" s="130"/>
      <c r="C29" s="130"/>
      <c r="D29" s="130"/>
      <c r="E29" s="130"/>
      <c r="F29" s="130"/>
      <c r="G29" s="130"/>
      <c r="H29" s="130"/>
      <c r="I29" s="130"/>
      <c r="J29" s="130"/>
    </row>
    <row r="30" spans="1:11" x14ac:dyDescent="0.25">
      <c r="J30" s="567"/>
      <c r="K30" s="356"/>
    </row>
  </sheetData>
  <mergeCells count="2">
    <mergeCell ref="A1:J1"/>
    <mergeCell ref="C2:J2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  <ignoredErrors>
    <ignoredError sqref="J21 J25 J1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14"/>
  <sheetViews>
    <sheetView zoomScale="80" zoomScaleNormal="80" zoomScaleSheetLayoutView="76" workbookViewId="0">
      <selection sqref="A1:K41"/>
    </sheetView>
  </sheetViews>
  <sheetFormatPr defaultColWidth="19.140625" defaultRowHeight="12.75" outlineLevelCol="1" x14ac:dyDescent="0.25"/>
  <cols>
    <col min="1" max="1" width="15.42578125" style="2" customWidth="1"/>
    <col min="2" max="2" width="49.5703125" style="3" customWidth="1"/>
    <col min="3" max="3" width="14.28515625" style="4" hidden="1" customWidth="1"/>
    <col min="4" max="4" width="14.28515625" style="5" hidden="1" customWidth="1"/>
    <col min="5" max="5" width="11.5703125" style="6" customWidth="1"/>
    <col min="6" max="7" width="11.5703125" style="4" customWidth="1"/>
    <col min="8" max="8" width="11.5703125" style="7" customWidth="1"/>
    <col min="9" max="9" width="11.5703125" style="8" customWidth="1" outlineLevel="1"/>
    <col min="10" max="10" width="43.28515625" style="9" customWidth="1" outlineLevel="1"/>
    <col min="11" max="17" width="11.5703125" style="4" customWidth="1" outlineLevel="1"/>
    <col min="18" max="18" width="11.5703125" style="6" customWidth="1" outlineLevel="1"/>
    <col min="19" max="19" width="10" style="4" hidden="1" customWidth="1"/>
    <col min="20" max="20" width="13.42578125" style="4" hidden="1" customWidth="1"/>
    <col min="21" max="21" width="10" style="4" hidden="1" customWidth="1"/>
    <col min="22" max="31" width="0" style="4" hidden="1" customWidth="1"/>
    <col min="32" max="16384" width="19.140625" style="4"/>
  </cols>
  <sheetData>
    <row r="2" spans="1:19" ht="26.25" x14ac:dyDescent="0.25">
      <c r="A2" s="10" t="s">
        <v>459</v>
      </c>
      <c r="B2" s="10"/>
      <c r="C2" s="11"/>
      <c r="D2" s="12"/>
      <c r="G2" s="13"/>
    </row>
    <row r="3" spans="1:19" ht="26.25" x14ac:dyDescent="0.4">
      <c r="A3" s="14" t="s">
        <v>14</v>
      </c>
      <c r="B3" s="14"/>
      <c r="D3" s="12"/>
      <c r="G3" s="15" t="s">
        <v>162</v>
      </c>
      <c r="I3" s="18"/>
      <c r="J3" s="19"/>
      <c r="K3" s="16" t="s">
        <v>15</v>
      </c>
      <c r="L3" s="17"/>
      <c r="M3" s="17"/>
      <c r="N3" s="17"/>
      <c r="O3" s="17"/>
      <c r="P3" s="17"/>
      <c r="Q3" s="17"/>
      <c r="R3" s="20"/>
    </row>
    <row r="4" spans="1:19" ht="18" customHeight="1" x14ac:dyDescent="0.2">
      <c r="A4" s="21"/>
      <c r="B4" s="21"/>
      <c r="D4" s="22"/>
      <c r="K4" s="23"/>
      <c r="L4" s="23"/>
      <c r="M4" s="23"/>
      <c r="N4" s="23"/>
      <c r="O4" s="23"/>
      <c r="P4" s="23"/>
      <c r="Q4" s="23"/>
      <c r="R4" s="24"/>
    </row>
    <row r="5" spans="1:19" ht="18" customHeight="1" thickBot="1" x14ac:dyDescent="0.3">
      <c r="A5" s="25" t="s">
        <v>608</v>
      </c>
      <c r="B5" s="25"/>
      <c r="D5" s="12"/>
      <c r="K5" s="26"/>
      <c r="L5" s="26"/>
      <c r="M5" s="26"/>
      <c r="N5" s="26"/>
      <c r="O5" s="26"/>
      <c r="P5" s="26"/>
      <c r="Q5" s="26"/>
      <c r="R5" s="27"/>
    </row>
    <row r="6" spans="1:19" ht="18.75" customHeight="1" x14ac:dyDescent="0.25">
      <c r="B6" s="61"/>
      <c r="D6" s="62"/>
    </row>
    <row r="7" spans="1:19" ht="18.75" customHeight="1" thickBot="1" x14ac:dyDescent="0.3">
      <c r="B7" s="63" t="s">
        <v>405</v>
      </c>
      <c r="D7" s="62"/>
    </row>
    <row r="8" spans="1:19" ht="18.75" customHeight="1" x14ac:dyDescent="0.25">
      <c r="A8" s="64"/>
      <c r="B8" s="65"/>
      <c r="C8" s="66"/>
      <c r="D8" s="67"/>
      <c r="E8" s="29"/>
      <c r="F8" s="30"/>
      <c r="G8" s="30"/>
      <c r="I8" s="31"/>
      <c r="J8" s="32"/>
      <c r="K8" s="68" t="s">
        <v>0</v>
      </c>
      <c r="L8" s="69" t="s">
        <v>18</v>
      </c>
      <c r="M8" s="69" t="s">
        <v>19</v>
      </c>
      <c r="N8" s="69" t="s">
        <v>20</v>
      </c>
      <c r="O8" s="69" t="s">
        <v>21</v>
      </c>
      <c r="P8" s="70" t="s">
        <v>22</v>
      </c>
      <c r="Q8" s="69" t="s">
        <v>5</v>
      </c>
      <c r="R8" s="71" t="s">
        <v>6</v>
      </c>
    </row>
    <row r="9" spans="1:19" ht="18.75" customHeight="1" x14ac:dyDescent="0.25">
      <c r="A9" s="72" t="s">
        <v>34</v>
      </c>
      <c r="B9" s="73" t="s">
        <v>609</v>
      </c>
      <c r="C9" s="74"/>
      <c r="D9" s="499" t="s">
        <v>35</v>
      </c>
      <c r="E9" s="38" t="s">
        <v>26</v>
      </c>
      <c r="F9" s="38" t="s">
        <v>151</v>
      </c>
      <c r="G9" s="38" t="s">
        <v>476</v>
      </c>
      <c r="I9" s="39" t="s">
        <v>28</v>
      </c>
      <c r="J9" s="40"/>
      <c r="K9" s="33"/>
      <c r="L9" s="34" t="s">
        <v>29</v>
      </c>
      <c r="M9" s="33" t="s">
        <v>30</v>
      </c>
      <c r="N9" s="34" t="s">
        <v>31</v>
      </c>
      <c r="O9" s="35" t="s">
        <v>32</v>
      </c>
      <c r="P9" s="35" t="s">
        <v>33</v>
      </c>
      <c r="Q9" s="34"/>
      <c r="R9" s="36"/>
    </row>
    <row r="10" spans="1:19" ht="18.75" customHeight="1" thickBot="1" x14ac:dyDescent="0.3">
      <c r="A10" s="75"/>
      <c r="B10" s="75"/>
      <c r="C10" s="76"/>
      <c r="D10" s="77"/>
      <c r="E10" s="41" t="s">
        <v>9</v>
      </c>
      <c r="F10" s="42" t="s">
        <v>9</v>
      </c>
      <c r="G10" s="42" t="s">
        <v>9</v>
      </c>
      <c r="I10" s="43"/>
      <c r="J10" s="44"/>
      <c r="K10" s="45" t="s">
        <v>7</v>
      </c>
      <c r="L10" s="45" t="s">
        <v>7</v>
      </c>
      <c r="M10" s="45" t="s">
        <v>7</v>
      </c>
      <c r="N10" s="46" t="s">
        <v>7</v>
      </c>
      <c r="O10" s="47" t="s">
        <v>7</v>
      </c>
      <c r="P10" s="45" t="s">
        <v>7</v>
      </c>
      <c r="Q10" s="46" t="s">
        <v>8</v>
      </c>
      <c r="R10" s="48"/>
    </row>
    <row r="11" spans="1:19" ht="18.75" customHeight="1" x14ac:dyDescent="0.2">
      <c r="A11" s="84" t="s">
        <v>185</v>
      </c>
      <c r="B11" s="79" t="s">
        <v>613</v>
      </c>
      <c r="C11" s="54"/>
      <c r="D11" s="55" t="s">
        <v>38</v>
      </c>
      <c r="E11" s="56">
        <v>556.56327199999998</v>
      </c>
      <c r="F11" s="56">
        <v>556.56327199999998</v>
      </c>
      <c r="G11" s="56">
        <v>556.56327199999998</v>
      </c>
      <c r="I11" s="57"/>
      <c r="J11" s="79" t="s">
        <v>607</v>
      </c>
      <c r="K11" s="440">
        <v>97.580276999999995</v>
      </c>
      <c r="L11" s="441">
        <v>106.03826599999999</v>
      </c>
      <c r="M11" s="441">
        <v>121.531325</v>
      </c>
      <c r="N11" s="441">
        <v>98.539276000000001</v>
      </c>
      <c r="O11" s="441">
        <v>50.779508</v>
      </c>
      <c r="P11" s="441">
        <v>60.129733999999999</v>
      </c>
      <c r="Q11" s="441">
        <v>21.964886</v>
      </c>
      <c r="R11" s="442">
        <f>SUM(K11:Q11)</f>
        <v>556.56327199999998</v>
      </c>
    </row>
    <row r="12" spans="1:19" ht="18.75" customHeight="1" thickBot="1" x14ac:dyDescent="0.25">
      <c r="A12" s="177" t="s">
        <v>185</v>
      </c>
      <c r="B12" s="79" t="s">
        <v>610</v>
      </c>
      <c r="C12" s="178"/>
      <c r="D12" s="179"/>
      <c r="E12" s="56">
        <v>-1.0980000000000001</v>
      </c>
      <c r="F12" s="56">
        <v>-1.0980000000000001</v>
      </c>
      <c r="G12" s="56">
        <v>-1.0980000000000001</v>
      </c>
      <c r="I12" s="57"/>
      <c r="J12" s="79" t="s">
        <v>594</v>
      </c>
      <c r="K12" s="443">
        <v>-2.111E-3</v>
      </c>
      <c r="L12" s="444">
        <v>-1.0426150000000001</v>
      </c>
      <c r="M12" s="444">
        <v>0</v>
      </c>
      <c r="N12" s="444">
        <v>-4.2209999999999999E-3</v>
      </c>
      <c r="O12" s="444">
        <v>0</v>
      </c>
      <c r="P12" s="444">
        <v>-7.0399999999999998E-4</v>
      </c>
      <c r="Q12" s="444">
        <v>-4.8542000000000002E-2</v>
      </c>
      <c r="R12" s="445">
        <f t="shared" ref="R12" si="0">SUM(K12:Q12)</f>
        <v>-1.0981930000000002</v>
      </c>
    </row>
    <row r="13" spans="1:19" ht="18.75" customHeight="1" thickBot="1" x14ac:dyDescent="0.3">
      <c r="A13" s="81"/>
      <c r="B13" s="102" t="s">
        <v>611</v>
      </c>
      <c r="C13" s="86"/>
      <c r="D13" s="87"/>
      <c r="E13" s="60">
        <f>SUM(E11:E12)</f>
        <v>555.46527200000003</v>
      </c>
      <c r="F13" s="60">
        <f>SUM(F11:F12)</f>
        <v>555.46527200000003</v>
      </c>
      <c r="G13" s="60">
        <f>SUM(G11:G12)</f>
        <v>555.46527200000003</v>
      </c>
      <c r="I13" s="88"/>
      <c r="J13" s="89"/>
      <c r="K13" s="449">
        <f t="shared" ref="K13:R13" si="1">SUM(K11:K12)</f>
        <v>97.578165999999996</v>
      </c>
      <c r="L13" s="449">
        <f t="shared" si="1"/>
        <v>104.995651</v>
      </c>
      <c r="M13" s="449">
        <f t="shared" si="1"/>
        <v>121.531325</v>
      </c>
      <c r="N13" s="449">
        <f t="shared" si="1"/>
        <v>98.535055</v>
      </c>
      <c r="O13" s="449">
        <f t="shared" si="1"/>
        <v>50.779508</v>
      </c>
      <c r="P13" s="449">
        <f t="shared" si="1"/>
        <v>60.12903</v>
      </c>
      <c r="Q13" s="449">
        <f t="shared" si="1"/>
        <v>21.916343999999999</v>
      </c>
      <c r="R13" s="411">
        <f t="shared" si="1"/>
        <v>555.46507899999995</v>
      </c>
    </row>
    <row r="14" spans="1:19" ht="15" customHeight="1" x14ac:dyDescent="0.25">
      <c r="B14" s="28"/>
      <c r="C14" s="28"/>
      <c r="D14" s="90"/>
      <c r="E14" s="91"/>
      <c r="F14" s="28"/>
      <c r="G14" s="28"/>
      <c r="J14" s="91"/>
      <c r="K14" s="91"/>
      <c r="L14" s="91"/>
      <c r="M14" s="91"/>
      <c r="N14" s="91"/>
      <c r="O14" s="91"/>
      <c r="P14" s="91"/>
      <c r="Q14" s="91"/>
      <c r="R14" s="91"/>
      <c r="S14" s="3"/>
    </row>
  </sheetData>
  <pageMargins left="0.23622047244094491" right="0.23622047244094491" top="0.59055118110236227" bottom="0.59055118110236227" header="0.19685039370078741" footer="0.19685039370078741"/>
  <pageSetup paperSize="8" scale="5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2:AE215"/>
  <sheetViews>
    <sheetView topLeftCell="A117" zoomScale="80" zoomScaleNormal="80" zoomScaleSheetLayoutView="76" workbookViewId="0">
      <selection activeCell="A156" sqref="A146:A156"/>
    </sheetView>
  </sheetViews>
  <sheetFormatPr defaultColWidth="19.140625" defaultRowHeight="12.75" outlineLevelCol="1" x14ac:dyDescent="0.25"/>
  <cols>
    <col min="1" max="1" width="15.42578125" style="2" customWidth="1"/>
    <col min="2" max="2" width="49.5703125" style="3" customWidth="1"/>
    <col min="3" max="3" width="14.28515625" style="4" hidden="1" customWidth="1"/>
    <col min="4" max="4" width="14.28515625" style="5" hidden="1" customWidth="1"/>
    <col min="5" max="5" width="11.5703125" style="6" customWidth="1"/>
    <col min="6" max="7" width="11.5703125" style="4" customWidth="1"/>
    <col min="8" max="8" width="11.5703125" style="7" customWidth="1"/>
    <col min="9" max="9" width="11.5703125" style="8" customWidth="1" outlineLevel="1"/>
    <col min="10" max="10" width="43.28515625" style="9" customWidth="1" outlineLevel="1"/>
    <col min="11" max="17" width="11.5703125" style="4" customWidth="1" outlineLevel="1"/>
    <col min="18" max="18" width="11.5703125" style="6" customWidth="1" outlineLevel="1"/>
    <col min="19" max="19" width="10" style="4" hidden="1" customWidth="1"/>
    <col min="20" max="20" width="13.42578125" style="4" hidden="1" customWidth="1"/>
    <col min="21" max="21" width="10" style="4" hidden="1" customWidth="1"/>
    <col min="22" max="31" width="0" style="4" hidden="1" customWidth="1"/>
    <col min="32" max="16384" width="19.140625" style="4"/>
  </cols>
  <sheetData>
    <row r="2" spans="1:19" ht="26.25" x14ac:dyDescent="0.25">
      <c r="A2" s="10" t="s">
        <v>459</v>
      </c>
      <c r="B2" s="10"/>
      <c r="C2" s="11"/>
      <c r="D2" s="12"/>
      <c r="G2" s="13"/>
    </row>
    <row r="3" spans="1:19" ht="26.25" x14ac:dyDescent="0.4">
      <c r="A3" s="14" t="s">
        <v>14</v>
      </c>
      <c r="B3" s="14"/>
      <c r="D3" s="12"/>
      <c r="G3" s="15" t="s">
        <v>162</v>
      </c>
      <c r="I3" s="18"/>
      <c r="J3" s="19"/>
      <c r="K3" s="16" t="s">
        <v>15</v>
      </c>
      <c r="L3" s="17"/>
      <c r="M3" s="17"/>
      <c r="N3" s="17"/>
      <c r="O3" s="17"/>
      <c r="P3" s="17"/>
      <c r="Q3" s="17"/>
      <c r="R3" s="20"/>
    </row>
    <row r="4" spans="1:19" ht="18" customHeight="1" x14ac:dyDescent="0.2">
      <c r="A4" s="21"/>
      <c r="B4" s="21"/>
      <c r="D4" s="22"/>
      <c r="K4" s="23"/>
      <c r="L4" s="23"/>
      <c r="M4" s="23"/>
      <c r="N4" s="23"/>
      <c r="O4" s="23"/>
      <c r="P4" s="23"/>
      <c r="Q4" s="23"/>
      <c r="R4" s="24"/>
    </row>
    <row r="5" spans="1:19" ht="18" customHeight="1" thickBot="1" x14ac:dyDescent="0.3">
      <c r="A5" s="25" t="s">
        <v>16</v>
      </c>
      <c r="B5" s="25"/>
      <c r="D5" s="12"/>
      <c r="K5" s="26"/>
      <c r="L5" s="26"/>
      <c r="M5" s="26"/>
      <c r="N5" s="26"/>
      <c r="O5" s="26"/>
      <c r="P5" s="26"/>
      <c r="Q5" s="26"/>
      <c r="R5" s="27"/>
    </row>
    <row r="6" spans="1:19" ht="18.75" customHeight="1" x14ac:dyDescent="0.25">
      <c r="B6" s="61"/>
      <c r="D6" s="62"/>
    </row>
    <row r="7" spans="1:19" ht="18.75" customHeight="1" thickBot="1" x14ac:dyDescent="0.3">
      <c r="B7" s="63" t="s">
        <v>183</v>
      </c>
      <c r="D7" s="62"/>
    </row>
    <row r="8" spans="1:19" ht="18.75" customHeight="1" x14ac:dyDescent="0.25">
      <c r="A8" s="64"/>
      <c r="B8" s="65"/>
      <c r="C8" s="66"/>
      <c r="D8" s="67"/>
      <c r="E8" s="29"/>
      <c r="F8" s="30"/>
      <c r="G8" s="30"/>
      <c r="I8" s="31"/>
      <c r="J8" s="32"/>
      <c r="K8" s="68" t="s">
        <v>0</v>
      </c>
      <c r="L8" s="69" t="s">
        <v>18</v>
      </c>
      <c r="M8" s="69" t="s">
        <v>19</v>
      </c>
      <c r="N8" s="69" t="s">
        <v>20</v>
      </c>
      <c r="O8" s="69" t="s">
        <v>21</v>
      </c>
      <c r="P8" s="70" t="s">
        <v>22</v>
      </c>
      <c r="Q8" s="69" t="s">
        <v>5</v>
      </c>
      <c r="R8" s="71" t="s">
        <v>6</v>
      </c>
    </row>
    <row r="9" spans="1:19" ht="18.75" customHeight="1" x14ac:dyDescent="0.25">
      <c r="A9" s="72" t="s">
        <v>34</v>
      </c>
      <c r="B9" s="73" t="s">
        <v>184</v>
      </c>
      <c r="C9" s="74"/>
      <c r="D9" s="499" t="s">
        <v>35</v>
      </c>
      <c r="E9" s="38" t="s">
        <v>26</v>
      </c>
      <c r="F9" s="38" t="s">
        <v>151</v>
      </c>
      <c r="G9" s="38" t="s">
        <v>476</v>
      </c>
      <c r="I9" s="39" t="s">
        <v>28</v>
      </c>
      <c r="J9" s="40"/>
      <c r="K9" s="33"/>
      <c r="L9" s="34" t="s">
        <v>29</v>
      </c>
      <c r="M9" s="33" t="s">
        <v>30</v>
      </c>
      <c r="N9" s="34" t="s">
        <v>31</v>
      </c>
      <c r="O9" s="35" t="s">
        <v>32</v>
      </c>
      <c r="P9" s="35" t="s">
        <v>33</v>
      </c>
      <c r="Q9" s="34"/>
      <c r="R9" s="36"/>
    </row>
    <row r="10" spans="1:19" ht="18.75" customHeight="1" thickBot="1" x14ac:dyDescent="0.3">
      <c r="A10" s="75"/>
      <c r="B10" s="75"/>
      <c r="C10" s="76"/>
      <c r="D10" s="77"/>
      <c r="E10" s="41" t="s">
        <v>9</v>
      </c>
      <c r="F10" s="42" t="s">
        <v>9</v>
      </c>
      <c r="G10" s="42" t="s">
        <v>9</v>
      </c>
      <c r="I10" s="43"/>
      <c r="J10" s="44"/>
      <c r="K10" s="45" t="s">
        <v>7</v>
      </c>
      <c r="L10" s="45" t="s">
        <v>7</v>
      </c>
      <c r="M10" s="45" t="s">
        <v>7</v>
      </c>
      <c r="N10" s="46" t="s">
        <v>7</v>
      </c>
      <c r="O10" s="47" t="s">
        <v>7</v>
      </c>
      <c r="P10" s="45" t="s">
        <v>7</v>
      </c>
      <c r="Q10" s="46" t="s">
        <v>8</v>
      </c>
      <c r="R10" s="48"/>
    </row>
    <row r="11" spans="1:19" ht="18.75" customHeight="1" x14ac:dyDescent="0.2">
      <c r="A11" s="84" t="s">
        <v>185</v>
      </c>
      <c r="B11" s="79" t="s">
        <v>593</v>
      </c>
      <c r="C11" s="54"/>
      <c r="D11" s="55" t="s">
        <v>38</v>
      </c>
      <c r="E11" s="56">
        <v>-5.2990000000000004</v>
      </c>
      <c r="F11" s="56">
        <v>-5.2990000000000004</v>
      </c>
      <c r="G11" s="56">
        <v>-5.2990000000000004</v>
      </c>
      <c r="I11" s="57"/>
      <c r="J11" s="79" t="s">
        <v>593</v>
      </c>
      <c r="K11" s="440">
        <v>-0.412464</v>
      </c>
      <c r="L11" s="441">
        <v>-0.72421999999999997</v>
      </c>
      <c r="M11" s="441">
        <v>-2.9507490000000001</v>
      </c>
      <c r="N11" s="441">
        <v>-0.32805600000000001</v>
      </c>
      <c r="O11" s="441">
        <v>-0.27219900000000002</v>
      </c>
      <c r="P11" s="441">
        <v>-4.6155000000000002E-2</v>
      </c>
      <c r="Q11" s="441">
        <v>-0.56548600000000004</v>
      </c>
      <c r="R11" s="442">
        <f>SUM(K11:Q11)</f>
        <v>-5.2993289999999993</v>
      </c>
    </row>
    <row r="12" spans="1:19" ht="18.75" customHeight="1" x14ac:dyDescent="0.2">
      <c r="A12" s="177" t="s">
        <v>185</v>
      </c>
      <c r="B12" s="79" t="s">
        <v>594</v>
      </c>
      <c r="C12" s="178"/>
      <c r="D12" s="179"/>
      <c r="E12" s="56">
        <v>5.0129999999999999</v>
      </c>
      <c r="F12" s="56">
        <v>5.0129999999999999</v>
      </c>
      <c r="G12" s="56">
        <v>5.0129999999999999</v>
      </c>
      <c r="I12" s="57"/>
      <c r="J12" s="79" t="s">
        <v>594</v>
      </c>
      <c r="K12" s="443">
        <v>0.47789799999999999</v>
      </c>
      <c r="L12" s="444">
        <v>0.166994</v>
      </c>
      <c r="M12" s="444">
        <v>2.886676</v>
      </c>
      <c r="N12" s="444">
        <v>0.57851399999999997</v>
      </c>
      <c r="O12" s="444">
        <v>0.367456</v>
      </c>
      <c r="P12" s="444">
        <v>0.31785799999999997</v>
      </c>
      <c r="Q12" s="444">
        <v>0.21767900000000001</v>
      </c>
      <c r="R12" s="445">
        <f t="shared" ref="R12:R13" si="0">SUM(K12:Q12)</f>
        <v>5.0130750000000006</v>
      </c>
    </row>
    <row r="13" spans="1:19" ht="18.75" customHeight="1" x14ac:dyDescent="0.2">
      <c r="A13" s="664" t="s">
        <v>185</v>
      </c>
      <c r="B13" s="665" t="s">
        <v>447</v>
      </c>
      <c r="C13" s="666"/>
      <c r="D13" s="667"/>
      <c r="E13" s="668">
        <v>5.8490000000000002</v>
      </c>
      <c r="F13" s="668">
        <v>5.8490000000000002</v>
      </c>
      <c r="G13" s="668">
        <v>5.8490000000000002</v>
      </c>
      <c r="H13" s="669"/>
      <c r="I13" s="670"/>
      <c r="J13" s="665" t="s">
        <v>447</v>
      </c>
      <c r="K13" s="671">
        <v>0.36160059301180886</v>
      </c>
      <c r="L13" s="672">
        <v>0.53359824576183301</v>
      </c>
      <c r="M13" s="672">
        <v>3.5009160855704935</v>
      </c>
      <c r="N13" s="672">
        <v>0.47672359696522659</v>
      </c>
      <c r="O13" s="672">
        <v>0.19880764851190785</v>
      </c>
      <c r="P13" s="672">
        <v>0.23181985175169237</v>
      </c>
      <c r="Q13" s="672">
        <v>0.54585442353814784</v>
      </c>
      <c r="R13" s="673">
        <f t="shared" si="0"/>
        <v>5.8493204451111094</v>
      </c>
    </row>
    <row r="14" spans="1:19" ht="18.75" customHeight="1" thickBot="1" x14ac:dyDescent="0.25">
      <c r="A14" s="99" t="s">
        <v>185</v>
      </c>
      <c r="B14" s="494" t="s">
        <v>480</v>
      </c>
      <c r="C14" s="169"/>
      <c r="D14" s="123"/>
      <c r="E14" s="93">
        <v>5.1680000000000001</v>
      </c>
      <c r="F14" s="93">
        <v>5.1680000000000001</v>
      </c>
      <c r="G14" s="93">
        <v>5.1680000000000001</v>
      </c>
      <c r="I14" s="94"/>
      <c r="J14" s="494" t="s">
        <v>480</v>
      </c>
      <c r="K14" s="446">
        <v>0.50440799999999997</v>
      </c>
      <c r="L14" s="447">
        <v>1.2289650000000001</v>
      </c>
      <c r="M14" s="447">
        <v>1.794098</v>
      </c>
      <c r="N14" s="447">
        <v>0.56661399999999995</v>
      </c>
      <c r="O14" s="447">
        <v>0.22872200000000001</v>
      </c>
      <c r="P14" s="447">
        <v>0.28689100000000001</v>
      </c>
      <c r="Q14" s="447">
        <v>0.55867500000000003</v>
      </c>
      <c r="R14" s="448">
        <f>'[1]Summary Including HRG4+'!J10</f>
        <v>5.1683729999999999</v>
      </c>
    </row>
    <row r="15" spans="1:19" ht="18.75" customHeight="1" thickBot="1" x14ac:dyDescent="0.3">
      <c r="A15" s="81"/>
      <c r="B15" s="102" t="s">
        <v>184</v>
      </c>
      <c r="C15" s="86"/>
      <c r="D15" s="87"/>
      <c r="E15" s="60">
        <f>SUM(E11:E14)</f>
        <v>10.731</v>
      </c>
      <c r="F15" s="60">
        <f t="shared" ref="F15:G15" si="1">SUM(F11:F14)</f>
        <v>10.731</v>
      </c>
      <c r="G15" s="60">
        <f t="shared" si="1"/>
        <v>10.731</v>
      </c>
      <c r="I15" s="88"/>
      <c r="J15" s="89"/>
      <c r="K15" s="449">
        <f>SUM(K11:K14)</f>
        <v>0.93144259301180887</v>
      </c>
      <c r="L15" s="449">
        <f t="shared" ref="L15:Q15" si="2">SUM(L11:L14)</f>
        <v>1.2053372457618332</v>
      </c>
      <c r="M15" s="449">
        <f t="shared" si="2"/>
        <v>5.2309410855704934</v>
      </c>
      <c r="N15" s="449">
        <f t="shared" si="2"/>
        <v>1.2937955969652264</v>
      </c>
      <c r="O15" s="449">
        <f t="shared" si="2"/>
        <v>0.52278664851190781</v>
      </c>
      <c r="P15" s="449">
        <f t="shared" si="2"/>
        <v>0.79041385175169232</v>
      </c>
      <c r="Q15" s="449">
        <f t="shared" si="2"/>
        <v>0.75672242353814778</v>
      </c>
      <c r="R15" s="411">
        <f>SUM(R11:R14)</f>
        <v>10.731439445111111</v>
      </c>
    </row>
    <row r="16" spans="1:19" ht="15" customHeight="1" x14ac:dyDescent="0.25">
      <c r="B16" s="28"/>
      <c r="C16" s="28"/>
      <c r="D16" s="90"/>
      <c r="E16" s="91"/>
      <c r="F16" s="28"/>
      <c r="G16" s="28"/>
      <c r="J16" s="91"/>
      <c r="K16" s="91"/>
      <c r="L16" s="91"/>
      <c r="M16" s="91"/>
      <c r="N16" s="91"/>
      <c r="O16" s="91"/>
      <c r="P16" s="91"/>
      <c r="Q16" s="91"/>
      <c r="R16" s="91"/>
      <c r="S16" s="3"/>
    </row>
    <row r="17" spans="1:19" ht="15" customHeight="1" thickBot="1" x14ac:dyDescent="0.3">
      <c r="B17" s="28" t="s">
        <v>12</v>
      </c>
      <c r="C17" s="28"/>
      <c r="D17" s="90"/>
      <c r="E17" s="91"/>
      <c r="F17" s="28"/>
      <c r="G17" s="28"/>
      <c r="H17" s="83"/>
      <c r="S17" s="3"/>
    </row>
    <row r="18" spans="1:19" s="23" customFormat="1" ht="14.25" customHeight="1" x14ac:dyDescent="0.25">
      <c r="A18" s="484"/>
      <c r="B18" s="65"/>
      <c r="C18" s="66"/>
      <c r="D18" s="120"/>
      <c r="E18" s="29"/>
      <c r="F18" s="30"/>
      <c r="G18" s="30"/>
      <c r="H18" s="83"/>
      <c r="I18" s="31"/>
      <c r="J18" s="32"/>
      <c r="K18" s="68" t="s">
        <v>0</v>
      </c>
      <c r="L18" s="69" t="s">
        <v>18</v>
      </c>
      <c r="M18" s="69" t="s">
        <v>19</v>
      </c>
      <c r="N18" s="69" t="s">
        <v>20</v>
      </c>
      <c r="O18" s="69" t="s">
        <v>21</v>
      </c>
      <c r="P18" s="70" t="s">
        <v>22</v>
      </c>
      <c r="Q18" s="69" t="s">
        <v>5</v>
      </c>
      <c r="R18" s="71" t="s">
        <v>6</v>
      </c>
      <c r="S18" s="3"/>
    </row>
    <row r="19" spans="1:19" s="82" customFormat="1" ht="34.5" customHeight="1" x14ac:dyDescent="0.25">
      <c r="A19" s="485" t="s">
        <v>34</v>
      </c>
      <c r="B19" s="73" t="s">
        <v>467</v>
      </c>
      <c r="C19" s="74"/>
      <c r="D19" s="112" t="s">
        <v>35</v>
      </c>
      <c r="E19" s="38" t="s">
        <v>26</v>
      </c>
      <c r="F19" s="38" t="s">
        <v>151</v>
      </c>
      <c r="G19" s="38" t="s">
        <v>476</v>
      </c>
      <c r="H19" s="83"/>
      <c r="I19" s="39" t="s">
        <v>28</v>
      </c>
      <c r="J19" s="40"/>
      <c r="K19" s="33"/>
      <c r="L19" s="34" t="s">
        <v>29</v>
      </c>
      <c r="M19" s="33" t="s">
        <v>30</v>
      </c>
      <c r="N19" s="34" t="s">
        <v>31</v>
      </c>
      <c r="O19" s="35" t="s">
        <v>32</v>
      </c>
      <c r="P19" s="35" t="s">
        <v>33</v>
      </c>
      <c r="Q19" s="34"/>
      <c r="R19" s="36"/>
      <c r="S19" s="3" t="s">
        <v>164</v>
      </c>
    </row>
    <row r="20" spans="1:19" ht="15" customHeight="1" thickBot="1" x14ac:dyDescent="0.3">
      <c r="A20" s="486"/>
      <c r="B20" s="75"/>
      <c r="C20" s="76"/>
      <c r="D20" s="119"/>
      <c r="E20" s="41" t="s">
        <v>9</v>
      </c>
      <c r="F20" s="42" t="s">
        <v>9</v>
      </c>
      <c r="G20" s="42" t="s">
        <v>9</v>
      </c>
      <c r="H20" s="83"/>
      <c r="I20" s="43"/>
      <c r="J20" s="44"/>
      <c r="K20" s="45" t="s">
        <v>7</v>
      </c>
      <c r="L20" s="45" t="s">
        <v>7</v>
      </c>
      <c r="M20" s="45" t="s">
        <v>7</v>
      </c>
      <c r="N20" s="46" t="s">
        <v>7</v>
      </c>
      <c r="O20" s="47" t="s">
        <v>7</v>
      </c>
      <c r="P20" s="45" t="s">
        <v>7</v>
      </c>
      <c r="Q20" s="46" t="s">
        <v>8</v>
      </c>
      <c r="R20" s="48"/>
      <c r="S20" s="3"/>
    </row>
    <row r="21" spans="1:19" s="3" customFormat="1" ht="16.5" customHeight="1" x14ac:dyDescent="0.2">
      <c r="A21" s="765" t="s">
        <v>0</v>
      </c>
      <c r="B21" s="727" t="s">
        <v>251</v>
      </c>
      <c r="D21" s="465" t="s">
        <v>43</v>
      </c>
      <c r="E21" s="450">
        <v>4.4999999999999998E-2</v>
      </c>
      <c r="F21" s="450">
        <v>4.4999999999999998E-2</v>
      </c>
      <c r="G21" s="450">
        <v>4.4999999999999998E-2</v>
      </c>
      <c r="H21" s="83"/>
      <c r="I21" s="466">
        <v>96</v>
      </c>
      <c r="J21" s="412" t="str">
        <f>CONCATENATE(VLOOKUP($I21, '[2]Commissioner Splits'!$A$4:$C$351, 2, FALSE), "     ", VLOOKUP($I21, '[2]Commissioner Splits'!$A$4:$C$351, 3, FALSE))</f>
        <v>ABMU     Bariatrics</v>
      </c>
      <c r="K21" s="452">
        <f>VLOOKUP($I21, 'Commissioner Splits'!$A$4:$J$351, 5, FALSE)*E21</f>
        <v>1.301283886885448E-2</v>
      </c>
      <c r="L21" s="380">
        <f>VLOOKUP($I21, 'Commissioner Splits'!$A$4:$J$351, 7, FALSE)*E21</f>
        <v>6.8711787262953922E-3</v>
      </c>
      <c r="M21" s="380">
        <f>VLOOKUP($I21, 'Commissioner Splits'!$A$4:$J$351, 10, FALSE)*E21</f>
        <v>0</v>
      </c>
      <c r="N21" s="380">
        <f>VLOOKUP($I21, 'Commissioner Splits'!$A$4:$J$351, 4, FALSE)*E21</f>
        <v>9.7167878611717808E-3</v>
      </c>
      <c r="O21" s="380">
        <f>VLOOKUP($I21, 'Commissioner Splits'!$A$4:$J$351, 6, FALSE)*E21</f>
        <v>2.0171905893326082E-3</v>
      </c>
      <c r="P21" s="380">
        <f>VLOOKUP($I21, 'Commissioner Splits'!$A$4:$J$351, 8, FALSE)*E21</f>
        <v>1.2283320285118172E-2</v>
      </c>
      <c r="Q21" s="380">
        <f>VLOOKUP($I21, 'Commissioner Splits'!$A$4:$J$351,9, FALSE)*E21</f>
        <v>1.098683669227566E-3</v>
      </c>
      <c r="R21" s="451">
        <f t="shared" ref="R21:R30" si="3">SUM(K21:Q21)</f>
        <v>4.4999999999999998E-2</v>
      </c>
    </row>
    <row r="22" spans="1:19" s="3" customFormat="1" ht="16.5" customHeight="1" x14ac:dyDescent="0.2">
      <c r="A22" s="765" t="s">
        <v>0</v>
      </c>
      <c r="B22" s="727" t="s">
        <v>44</v>
      </c>
      <c r="C22" s="23"/>
      <c r="D22" s="465" t="s">
        <v>38</v>
      </c>
      <c r="E22" s="419">
        <v>-0.2</v>
      </c>
      <c r="F22" s="419">
        <v>-0.2</v>
      </c>
      <c r="G22" s="419">
        <v>-0.2</v>
      </c>
      <c r="H22" s="83"/>
      <c r="I22" s="464">
        <v>83</v>
      </c>
      <c r="J22" s="406" t="str">
        <f>CONCATENATE(VLOOKUP($I22, '[2]Commissioner Splits'!$A$4:$C$351, 2, FALSE), "     ", VLOOKUP($I22, '[2]Commissioner Splits'!$A$4:$C$351, 3, FALSE))</f>
        <v>ABMU     Burns</v>
      </c>
      <c r="K22" s="452">
        <f>VLOOKUP($I22, 'Commissioner Splits'!$A$4:$J$351, 5, FALSE)*E22</f>
        <v>-7.0280551592962426E-2</v>
      </c>
      <c r="L22" s="380">
        <f>VLOOKUP($I22, 'Commissioner Splits'!$A$4:$J$351, 7, FALSE)*E22</f>
        <v>-3.1954350927246793E-2</v>
      </c>
      <c r="M22" s="380">
        <f>VLOOKUP($I22, 'Commissioner Splits'!$A$4:$J$351, 10, FALSE)*E22</f>
        <v>-2.6628625772705658E-3</v>
      </c>
      <c r="N22" s="380">
        <f>VLOOKUP($I22, 'Commissioner Splits'!$A$4:$J$351, 4, FALSE)*E22</f>
        <v>-3.2905373276271986E-2</v>
      </c>
      <c r="O22" s="380">
        <f>VLOOKUP($I22, 'Commissioner Splits'!$A$4:$J$351, 6, FALSE)*E22</f>
        <v>-1.7403708987161197E-2</v>
      </c>
      <c r="P22" s="380">
        <f>VLOOKUP($I22, 'Commissioner Splits'!$A$4:$J$351, 8, FALSE)*E22</f>
        <v>-3.965763195435093E-2</v>
      </c>
      <c r="Q22" s="380">
        <f>VLOOKUP($I22, 'Commissioner Splits'!$A$4:$J$351,9, FALSE)*E22</f>
        <v>-5.1355206847360918E-3</v>
      </c>
      <c r="R22" s="452">
        <f t="shared" si="3"/>
        <v>-0.2</v>
      </c>
    </row>
    <row r="23" spans="1:19" s="3" customFormat="1" ht="16.5" customHeight="1" x14ac:dyDescent="0.2">
      <c r="A23" s="766" t="s">
        <v>0</v>
      </c>
      <c r="B23" s="728" t="s">
        <v>57</v>
      </c>
      <c r="D23" s="465" t="s">
        <v>47</v>
      </c>
      <c r="E23" s="419">
        <v>0.54035199999999994</v>
      </c>
      <c r="F23" s="419">
        <v>0.54035199999999994</v>
      </c>
      <c r="G23" s="419">
        <v>0.54035199999999994</v>
      </c>
      <c r="H23" s="83"/>
      <c r="I23" s="464">
        <v>76</v>
      </c>
      <c r="J23" s="406" t="str">
        <f>CONCATENATE(VLOOKUP($I23, '[2]Commissioner Splits'!$A$4:$C$351, 2, FALSE), "     ", VLOOKUP($I23, '[2]Commissioner Splits'!$A$4:$C$351, 3, FALSE))</f>
        <v>ABMU     Cardiac Surgery</v>
      </c>
      <c r="K23" s="452">
        <f>VLOOKUP($I23, 'Commissioner Splits'!$A$4:$J$351, 5, FALSE)*E23</f>
        <v>0.27613666118723978</v>
      </c>
      <c r="L23" s="380">
        <f>VLOOKUP($I23, 'Commissioner Splits'!$A$4:$J$351, 7, FALSE)*E23</f>
        <v>1.5895618241729206E-3</v>
      </c>
      <c r="M23" s="380">
        <f>VLOOKUP($I23, 'Commissioner Splits'!$A$4:$J$351, 10, FALSE)*E23</f>
        <v>2.9658784514478009E-3</v>
      </c>
      <c r="N23" s="380">
        <f>VLOOKUP($I23, 'Commissioner Splits'!$A$4:$J$351, 4, FALSE)*E23</f>
        <v>1.4202206040977853E-2</v>
      </c>
      <c r="O23" s="380">
        <f>VLOOKUP($I23, 'Commissioner Splits'!$A$4:$J$351, 6, FALSE)*E23</f>
        <v>1.8442783303987472E-3</v>
      </c>
      <c r="P23" s="380">
        <f>VLOOKUP($I23, 'Commissioner Splits'!$A$4:$J$351, 8, FALSE)*E23</f>
        <v>0.22491599777028126</v>
      </c>
      <c r="Q23" s="380">
        <f>VLOOKUP($I23, 'Commissioner Splits'!$A$4:$J$351,9, FALSE)*E23</f>
        <v>1.8697416395481531E-2</v>
      </c>
      <c r="R23" s="452">
        <f t="shared" si="3"/>
        <v>0.54035199999999983</v>
      </c>
    </row>
    <row r="24" spans="1:19" s="3" customFormat="1" ht="16.5" customHeight="1" x14ac:dyDescent="0.2">
      <c r="A24" s="765" t="s">
        <v>0</v>
      </c>
      <c r="B24" s="727" t="s">
        <v>171</v>
      </c>
      <c r="D24" s="465" t="s">
        <v>43</v>
      </c>
      <c r="E24" s="419">
        <v>-4.7586983333333589E-2</v>
      </c>
      <c r="F24" s="419">
        <v>-4.7586983333333589E-2</v>
      </c>
      <c r="G24" s="419">
        <v>-4.7586983333333589E-2</v>
      </c>
      <c r="H24" s="83"/>
      <c r="I24" s="464">
        <v>86</v>
      </c>
      <c r="J24" s="406" t="str">
        <f>CONCATENATE(VLOOKUP($I24, '[2]Commissioner Splits'!$A$4:$C$351, 2, FALSE), "     ", VLOOKUP($I24, '[2]Commissioner Splits'!$A$4:$C$351, 3, FALSE))</f>
        <v>ABMU     NICU</v>
      </c>
      <c r="K24" s="452">
        <f>VLOOKUP($I24, 'Commissioner Splits'!$A$4:$J$351, 5, FALSE)*E24</f>
        <v>-3.4163851395070492E-2</v>
      </c>
      <c r="L24" s="380">
        <f>VLOOKUP($I24, 'Commissioner Splits'!$A$4:$J$351, 7, FALSE)*E24</f>
        <v>-7.0780994248229121E-4</v>
      </c>
      <c r="M24" s="380">
        <f>VLOOKUP($I24, 'Commissioner Splits'!$A$4:$J$351, 10, FALSE)*E24</f>
        <v>0</v>
      </c>
      <c r="N24" s="380">
        <f>VLOOKUP($I24, 'Commissioner Splits'!$A$4:$J$351, 4, FALSE)*E24</f>
        <v>-9.8946170343900438E-4</v>
      </c>
      <c r="O24" s="380">
        <f>VLOOKUP($I24, 'Commissioner Splits'!$A$4:$J$351, 6, FALSE)*E24</f>
        <v>-1.7714277154924143E-3</v>
      </c>
      <c r="P24" s="380">
        <f>VLOOKUP($I24, 'Commissioner Splits'!$A$4:$J$351, 8, FALSE)*E24</f>
        <v>-8.8953439563686579E-3</v>
      </c>
      <c r="Q24" s="380">
        <f>VLOOKUP($I24, 'Commissioner Splits'!$A$4:$J$351,9, FALSE)*E24</f>
        <v>-1.0590886204807346E-3</v>
      </c>
      <c r="R24" s="452">
        <f t="shared" si="3"/>
        <v>-4.7586983333333596E-2</v>
      </c>
    </row>
    <row r="25" spans="1:19" s="3" customFormat="1" ht="16.5" customHeight="1" x14ac:dyDescent="0.2">
      <c r="A25" s="765" t="s">
        <v>0</v>
      </c>
      <c r="B25" s="727" t="s">
        <v>46</v>
      </c>
      <c r="D25" s="465" t="s">
        <v>40</v>
      </c>
      <c r="E25" s="419">
        <v>3.7999999999999999E-2</v>
      </c>
      <c r="F25" s="419">
        <v>3.7999999999999999E-2</v>
      </c>
      <c r="G25" s="419">
        <v>3.7999999999999999E-2</v>
      </c>
      <c r="H25" s="83"/>
      <c r="I25" s="464">
        <v>81</v>
      </c>
      <c r="J25" s="406" t="str">
        <f>CONCATENATE(VLOOKUP($I25, '[2]Commissioner Splits'!$A$4:$C$351, 2, FALSE), "     ", VLOOKUP($I25, '[2]Commissioner Splits'!$A$4:$C$351, 3, FALSE))</f>
        <v>ABMU     Plastics</v>
      </c>
      <c r="K25" s="452">
        <f>VLOOKUP($I25, 'Commissioner Splits'!$A$4:$J$351, 5, FALSE)*E25</f>
        <v>1.6453233549546916E-2</v>
      </c>
      <c r="L25" s="380">
        <f>VLOOKUP($I25, 'Commissioner Splits'!$A$4:$J$351, 7, FALSE)*E25</f>
        <v>5.6846152368872655E-3</v>
      </c>
      <c r="M25" s="380">
        <f>VLOOKUP($I25, 'Commissioner Splits'!$A$4:$J$351, 10, FALSE)*E25</f>
        <v>5.470644518012417E-5</v>
      </c>
      <c r="N25" s="380">
        <f>VLOOKUP($I25, 'Commissioner Splits'!$A$4:$J$351, 4, FALSE)*E25</f>
        <v>2.81069853224866E-3</v>
      </c>
      <c r="O25" s="380">
        <f>VLOOKUP($I25, 'Commissioner Splits'!$A$4:$J$351, 6, FALSE)*E25</f>
        <v>3.7393679844671562E-3</v>
      </c>
      <c r="P25" s="380">
        <f>VLOOKUP($I25, 'Commissioner Splits'!$A$4:$J$351, 8, FALSE)*E25</f>
        <v>8.1976659937664249E-3</v>
      </c>
      <c r="Q25" s="380">
        <f>VLOOKUP($I25, 'Commissioner Splits'!$A$4:$J$351,9, FALSE)*E25</f>
        <v>1.0597122579034536E-3</v>
      </c>
      <c r="R25" s="452">
        <f t="shared" si="3"/>
        <v>3.7999999999999999E-2</v>
      </c>
    </row>
    <row r="26" spans="1:19" s="3" customFormat="1" ht="16.5" customHeight="1" x14ac:dyDescent="0.2">
      <c r="A26" s="765" t="s">
        <v>0</v>
      </c>
      <c r="B26" s="727" t="s">
        <v>17</v>
      </c>
      <c r="D26" s="465" t="s">
        <v>50</v>
      </c>
      <c r="E26" s="419">
        <v>-0.15</v>
      </c>
      <c r="F26" s="419">
        <v>-0.15</v>
      </c>
      <c r="G26" s="419">
        <v>-0.15</v>
      </c>
      <c r="H26" s="83"/>
      <c r="I26" s="464">
        <v>74</v>
      </c>
      <c r="J26" s="406" t="str">
        <f>CONCATENATE(VLOOKUP($I26, '[2]Commissioner Splits'!$A$4:$C$351, 2, FALSE), "     ", VLOOKUP($I26, '[2]Commissioner Splits'!$A$4:$C$351, 3, FALSE))</f>
        <v>ABMU     Renal</v>
      </c>
      <c r="K26" s="452">
        <f>VLOOKUP($I26, 'Commissioner Splits'!$A$4:$J$351, 5, FALSE)*E26</f>
        <v>-0.11626064339090231</v>
      </c>
      <c r="L26" s="380">
        <f>VLOOKUP($I26, 'Commissioner Splits'!$A$4:$J$351, 7, FALSE)*E26</f>
        <v>-1.583078616996715E-4</v>
      </c>
      <c r="M26" s="380">
        <f>VLOOKUP($I26, 'Commissioner Splits'!$A$4:$J$351, 10, FALSE)*E26</f>
        <v>-2.484571914585781E-4</v>
      </c>
      <c r="N26" s="380">
        <f>VLOOKUP($I26, 'Commissioner Splits'!$A$4:$J$351, 4, FALSE)*E26</f>
        <v>-5.605000249921118E-4</v>
      </c>
      <c r="O26" s="380">
        <f>VLOOKUP($I26, 'Commissioner Splits'!$A$4:$J$351, 6, FALSE)*E26</f>
        <v>-5.193971608855346E-4</v>
      </c>
      <c r="P26" s="380">
        <f>VLOOKUP($I26, 'Commissioner Splits'!$A$4:$J$351, 8, FALSE)*E26</f>
        <v>-3.010529149147189E-2</v>
      </c>
      <c r="Q26" s="380">
        <f>VLOOKUP($I26, 'Commissioner Splits'!$A$4:$J$351,9, FALSE)*E26</f>
        <v>-2.1474028785899157E-3</v>
      </c>
      <c r="R26" s="452">
        <f t="shared" si="3"/>
        <v>-0.15</v>
      </c>
    </row>
    <row r="27" spans="1:19" s="3" customFormat="1" ht="16.5" customHeight="1" x14ac:dyDescent="0.2">
      <c r="A27" s="765" t="s">
        <v>0</v>
      </c>
      <c r="B27" s="727" t="s">
        <v>237</v>
      </c>
      <c r="C27" s="23"/>
      <c r="D27" s="465" t="s">
        <v>43</v>
      </c>
      <c r="E27" s="419">
        <v>0</v>
      </c>
      <c r="F27" s="419">
        <v>0</v>
      </c>
      <c r="G27" s="419">
        <v>0</v>
      </c>
      <c r="H27" s="83"/>
      <c r="I27" s="464">
        <v>75</v>
      </c>
      <c r="J27" s="406" t="str">
        <f>CONCATENATE(VLOOKUP($I27, '[2]Commissioner Splits'!$A$4:$C$351, 2, FALSE), "     ", VLOOKUP($I27, '[2]Commissioner Splits'!$A$4:$C$351, 3, FALSE))</f>
        <v>ABMU     Renal - West Wales ISP Units</v>
      </c>
      <c r="K27" s="452">
        <f>VLOOKUP($I27, 'Commissioner Splits'!$A$4:$J$351, 5, FALSE)*E27</f>
        <v>0</v>
      </c>
      <c r="L27" s="380">
        <f>VLOOKUP($I27, 'Commissioner Splits'!$A$4:$J$351, 7, FALSE)*E27</f>
        <v>0</v>
      </c>
      <c r="M27" s="380">
        <f>VLOOKUP($I27, 'Commissioner Splits'!$A$4:$J$351, 10, FALSE)*E27</f>
        <v>0</v>
      </c>
      <c r="N27" s="380">
        <f>VLOOKUP($I27, 'Commissioner Splits'!$A$4:$J$351, 4, FALSE)*E27</f>
        <v>0</v>
      </c>
      <c r="O27" s="380">
        <f>VLOOKUP($I27, 'Commissioner Splits'!$A$4:$J$351, 6, FALSE)*E27</f>
        <v>0</v>
      </c>
      <c r="P27" s="380">
        <f>VLOOKUP($I27, 'Commissioner Splits'!$A$4:$J$351, 8, FALSE)*E27</f>
        <v>0</v>
      </c>
      <c r="Q27" s="380">
        <f>VLOOKUP($I27, 'Commissioner Splits'!$A$4:$J$351,9, FALSE)*E27</f>
        <v>0</v>
      </c>
      <c r="R27" s="452">
        <f t="shared" si="3"/>
        <v>0</v>
      </c>
    </row>
    <row r="28" spans="1:19" s="3" customFormat="1" ht="16.5" customHeight="1" x14ac:dyDescent="0.2">
      <c r="A28" s="765" t="s">
        <v>0</v>
      </c>
      <c r="B28" s="727" t="s">
        <v>49</v>
      </c>
      <c r="D28" s="465" t="s">
        <v>43</v>
      </c>
      <c r="E28" s="419">
        <v>0.08</v>
      </c>
      <c r="F28" s="419">
        <v>0.08</v>
      </c>
      <c r="G28" s="419">
        <v>0.08</v>
      </c>
      <c r="H28" s="83"/>
      <c r="I28" s="464">
        <v>98</v>
      </c>
      <c r="J28" s="406" t="str">
        <f>CONCATENATE(VLOOKUP($I28, '[2]Commissioner Splits'!$A$4:$C$351, 2, FALSE), "     ", VLOOKUP($I28, '[2]Commissioner Splits'!$A$4:$C$351, 3, FALSE))</f>
        <v>ABMU     Sarcoma</v>
      </c>
      <c r="K28" s="452">
        <f>VLOOKUP($I28, 'Commissioner Splits'!$A$4:$J$351, 5, FALSE)*E28</f>
        <v>2.203252032520325E-2</v>
      </c>
      <c r="L28" s="380">
        <f>VLOOKUP($I28, 'Commissioner Splits'!$A$4:$J$351, 7, FALSE)*E28</f>
        <v>2.0487804878048781E-2</v>
      </c>
      <c r="M28" s="380">
        <f>VLOOKUP($I28, 'Commissioner Splits'!$A$4:$J$351, 10, FALSE)*E28</f>
        <v>0</v>
      </c>
      <c r="N28" s="380">
        <f>VLOOKUP($I28, 'Commissioner Splits'!$A$4:$J$351, 4, FALSE)*E28</f>
        <v>1.089430894308943E-2</v>
      </c>
      <c r="O28" s="380">
        <f>VLOOKUP($I28, 'Commissioner Splits'!$A$4:$J$351, 6, FALSE)*E28</f>
        <v>1.0162601626016262E-2</v>
      </c>
      <c r="P28" s="380">
        <f>VLOOKUP($I28, 'Commissioner Splits'!$A$4:$J$351, 8, FALSE)*E28</f>
        <v>1.4146341463414633E-2</v>
      </c>
      <c r="Q28" s="380">
        <f>VLOOKUP($I28, 'Commissioner Splits'!$A$4:$J$351,9, FALSE)*E28</f>
        <v>2.2764227642276423E-3</v>
      </c>
      <c r="R28" s="452">
        <f t="shared" si="3"/>
        <v>0.08</v>
      </c>
    </row>
    <row r="29" spans="1:19" s="3" customFormat="1" ht="16.5" customHeight="1" x14ac:dyDescent="0.2">
      <c r="A29" s="765" t="s">
        <v>0</v>
      </c>
      <c r="B29" s="727" t="s">
        <v>598</v>
      </c>
      <c r="D29" s="465"/>
      <c r="E29" s="419">
        <v>-0.25</v>
      </c>
      <c r="F29" s="419">
        <v>-0.25</v>
      </c>
      <c r="G29" s="419">
        <v>-0.25</v>
      </c>
      <c r="H29" s="83"/>
      <c r="I29" s="464">
        <v>80</v>
      </c>
      <c r="J29" s="406" t="str">
        <f>CONCATENATE(VLOOKUP($I29, '[2]Commissioner Splits'!$A$4:$C$351, 2, FALSE), "     ", VLOOKUP($I29, '[2]Commissioner Splits'!$A$4:$C$351, 3, FALSE))</f>
        <v>ABMU     Thoracic</v>
      </c>
      <c r="K29" s="452">
        <f>VLOOKUP($I29, 'Commissioner Splits'!$A$4:$J$351, 5, FALSE)*E29</f>
        <v>-0.16808252427184464</v>
      </c>
      <c r="L29" s="380">
        <f>VLOOKUP($I29, 'Commissioner Splits'!$A$4:$J$351, 7, FALSE)*E29</f>
        <v>-6.0679611650485432E-4</v>
      </c>
      <c r="M29" s="380">
        <f>VLOOKUP($I29, 'Commissioner Splits'!$A$4:$J$351, 10, FALSE)*E29</f>
        <v>-6.0679611650485432E-4</v>
      </c>
      <c r="N29" s="380">
        <f>VLOOKUP($I29, 'Commissioner Splits'!$A$4:$J$351, 4, FALSE)*E29</f>
        <v>-3.0339805825242718E-3</v>
      </c>
      <c r="O29" s="380">
        <f>VLOOKUP($I29, 'Commissioner Splits'!$A$4:$J$351, 6, FALSE)*E29</f>
        <v>-1.2135922330097086E-3</v>
      </c>
      <c r="P29" s="380">
        <f>VLOOKUP($I29, 'Commissioner Splits'!$A$4:$J$351, 8, FALSE)*E29</f>
        <v>-7.1601941747572811E-2</v>
      </c>
      <c r="Q29" s="380">
        <f>VLOOKUP($I29, 'Commissioner Splits'!$A$4:$J$351,9, FALSE)*E29</f>
        <v>-4.8543689320388345E-3</v>
      </c>
      <c r="R29" s="452">
        <f t="shared" ref="R29" si="4">SUM(K29:Q29)</f>
        <v>-0.24999999999999997</v>
      </c>
    </row>
    <row r="30" spans="1:19" s="3" customFormat="1" ht="16.5" customHeight="1" x14ac:dyDescent="0.2">
      <c r="A30" s="765" t="s">
        <v>1</v>
      </c>
      <c r="B30" s="727" t="s">
        <v>51</v>
      </c>
      <c r="D30" s="465" t="s">
        <v>24</v>
      </c>
      <c r="E30" s="419">
        <v>-4.6294444444444478E-2</v>
      </c>
      <c r="F30" s="419">
        <v>-4.6294444444444478E-2</v>
      </c>
      <c r="G30" s="419">
        <v>-4.6294444444444478E-2</v>
      </c>
      <c r="H30" s="83"/>
      <c r="I30" s="464">
        <v>128</v>
      </c>
      <c r="J30" s="406" t="str">
        <f>CONCATENATE(VLOOKUP($I30, '[2]Commissioner Splits'!$A$4:$C$351, 2, FALSE), "     ", VLOOKUP($I30, '[2]Commissioner Splits'!$A$4:$C$351, 3, FALSE))</f>
        <v>Anuerin Bevan     Cardiology</v>
      </c>
      <c r="K30" s="452">
        <f>VLOOKUP($I30, 'Commissioner Splits'!$A$4:$J$351, 5, FALSE)*E30</f>
        <v>-9.7218333333333405E-5</v>
      </c>
      <c r="L30" s="380">
        <f>VLOOKUP($I30, 'Commissioner Splits'!$A$4:$J$351, 7, FALSE)*E30</f>
        <v>-4.4743580555555593E-2</v>
      </c>
      <c r="M30" s="380">
        <f>VLOOKUP($I30, 'Commissioner Splits'!$A$4:$J$351, 10, FALSE)*E30</f>
        <v>0</v>
      </c>
      <c r="N30" s="380">
        <f>VLOOKUP($I30, 'Commissioner Splits'!$A$4:$J$351, 4, FALSE)*E30</f>
        <v>-2.916550000000002E-4</v>
      </c>
      <c r="O30" s="380">
        <f>VLOOKUP($I30, 'Commissioner Splits'!$A$4:$J$351, 6, FALSE)*E30</f>
        <v>0</v>
      </c>
      <c r="P30" s="380">
        <f>VLOOKUP($I30, 'Commissioner Splits'!$A$4:$J$351, 8, FALSE)*E30</f>
        <v>0</v>
      </c>
      <c r="Q30" s="380">
        <f>VLOOKUP($I30, 'Commissioner Splits'!$A$4:$J$351,9, FALSE)*E30</f>
        <v>-1.1619905555555565E-3</v>
      </c>
      <c r="R30" s="452">
        <f t="shared" si="3"/>
        <v>-4.6294444444444485E-2</v>
      </c>
    </row>
    <row r="31" spans="1:19" s="3" customFormat="1" ht="16.5" customHeight="1" x14ac:dyDescent="0.2">
      <c r="A31" s="765" t="s">
        <v>1</v>
      </c>
      <c r="B31" s="727" t="s">
        <v>171</v>
      </c>
      <c r="D31" s="465" t="s">
        <v>43</v>
      </c>
      <c r="E31" s="419">
        <v>-6.754405333333488E-2</v>
      </c>
      <c r="F31" s="419">
        <v>-6.754405333333488E-2</v>
      </c>
      <c r="G31" s="419">
        <v>-6.754405333333488E-2</v>
      </c>
      <c r="H31" s="83"/>
      <c r="I31" s="464">
        <v>129</v>
      </c>
      <c r="J31" s="406" t="str">
        <f>CONCATENATE(VLOOKUP($I31, '[2]Commissioner Splits'!$A$4:$C$351, 2, FALSE), "     ", VLOOKUP($I31, '[2]Commissioner Splits'!$A$4:$C$351, 3, FALSE))</f>
        <v>Anuerin Bevan     NICU</v>
      </c>
      <c r="K31" s="452">
        <f>VLOOKUP($I31, 'Commissioner Splits'!$A$4:$J$351, 5, FALSE)*E31</f>
        <v>-3.4402359515598113E-4</v>
      </c>
      <c r="L31" s="380">
        <f>VLOOKUP($I31, 'Commissioner Splits'!$A$4:$J$351, 7, FALSE)*E31</f>
        <v>-6.1072593374526488E-2</v>
      </c>
      <c r="M31" s="380">
        <f>VLOOKUP($I31, 'Commissioner Splits'!$A$4:$J$351, 10, FALSE)*E31</f>
        <v>0</v>
      </c>
      <c r="N31" s="380">
        <f>VLOOKUP($I31, 'Commissioner Splits'!$A$4:$J$351, 4, FALSE)*E31</f>
        <v>-1.44606503503122E-3</v>
      </c>
      <c r="O31" s="380">
        <f>VLOOKUP($I31, 'Commissioner Splits'!$A$4:$J$351, 6, FALSE)*E31</f>
        <v>-1.5737860367780931E-3</v>
      </c>
      <c r="P31" s="380">
        <f>VLOOKUP($I31, 'Commissioner Splits'!$A$4:$J$351, 8, FALSE)*E31</f>
        <v>-7.8174318498015131E-4</v>
      </c>
      <c r="Q31" s="380">
        <f>VLOOKUP($I31, 'Commissioner Splits'!$A$4:$J$351,9, FALSE)*E31</f>
        <v>-2.3258421068629463E-3</v>
      </c>
      <c r="R31" s="452">
        <f t="shared" ref="R31:R36" si="5">SUM(K31:Q31)</f>
        <v>-6.754405333333488E-2</v>
      </c>
    </row>
    <row r="32" spans="1:19" s="3" customFormat="1" ht="16.5" customHeight="1" x14ac:dyDescent="0.2">
      <c r="A32" s="765" t="s">
        <v>1</v>
      </c>
      <c r="B32" s="727" t="s">
        <v>270</v>
      </c>
      <c r="D32" s="465" t="s">
        <v>38</v>
      </c>
      <c r="E32" s="419">
        <v>2.7643333333333332E-2</v>
      </c>
      <c r="F32" s="419">
        <v>2.7643333333333332E-2</v>
      </c>
      <c r="G32" s="419">
        <v>2.7643333333333332E-2</v>
      </c>
      <c r="H32" s="83"/>
      <c r="I32" s="464">
        <v>130</v>
      </c>
      <c r="J32" s="406" t="str">
        <f>CONCATENATE(VLOOKUP($I32, '[2]Commissioner Splits'!$A$4:$C$351, 2, FALSE), "     ", VLOOKUP($I32, '[2]Commissioner Splits'!$A$4:$C$351, 3, FALSE))</f>
        <v>Anuerin Bevan     RF ablation</v>
      </c>
      <c r="K32" s="452">
        <f>VLOOKUP($I32, 'Commissioner Splits'!$A$4:$J$351, 5, FALSE)*E32</f>
        <v>1.8438103333333331E-3</v>
      </c>
      <c r="L32" s="380">
        <f>VLOOKUP($I32, 'Commissioner Splits'!$A$4:$J$351, 7, FALSE)*E32</f>
        <v>1.2898379333333333E-2</v>
      </c>
      <c r="M32" s="380">
        <f>VLOOKUP($I32, 'Commissioner Splits'!$A$4:$J$351, 10, FALSE)*E32</f>
        <v>0</v>
      </c>
      <c r="N32" s="380">
        <f>VLOOKUP($I32, 'Commissioner Splits'!$A$4:$J$351, 4, FALSE)*E32</f>
        <v>5.528666666666667E-3</v>
      </c>
      <c r="O32" s="380">
        <f>VLOOKUP($I32, 'Commissioner Splits'!$A$4:$J$351, 6, FALSE)*E32</f>
        <v>5.528666666666667E-3</v>
      </c>
      <c r="P32" s="380">
        <f>VLOOKUP($I32, 'Commissioner Splits'!$A$4:$J$351, 8, FALSE)*E32</f>
        <v>1.8438103333333331E-3</v>
      </c>
      <c r="Q32" s="380">
        <f>VLOOKUP($I32, 'Commissioner Splits'!$A$4:$J$351,9, FALSE)*E32</f>
        <v>0</v>
      </c>
      <c r="R32" s="452">
        <f t="shared" si="5"/>
        <v>2.7643333333333336E-2</v>
      </c>
    </row>
    <row r="33" spans="1:28" s="3" customFormat="1" ht="16.5" customHeight="1" x14ac:dyDescent="0.2">
      <c r="A33" s="765" t="s">
        <v>52</v>
      </c>
      <c r="B33" s="727" t="s">
        <v>53</v>
      </c>
      <c r="D33" s="465" t="s">
        <v>43</v>
      </c>
      <c r="E33" s="419">
        <v>0.26816399999999974</v>
      </c>
      <c r="F33" s="419">
        <v>0.26816399999999974</v>
      </c>
      <c r="G33" s="419">
        <v>0.26816399999999974</v>
      </c>
      <c r="H33" s="83"/>
      <c r="I33" s="464">
        <v>107</v>
      </c>
      <c r="J33" s="406" t="str">
        <f>CONCATENATE(VLOOKUP($I33, '[2]Commissioner Splits'!$A$4:$C$351, 2, FALSE), "     ", VLOOKUP($I33, '[2]Commissioner Splits'!$A$4:$C$351, 3, FALSE))</f>
        <v>BCU     Angioplasty</v>
      </c>
      <c r="K33" s="452">
        <f>VLOOKUP($I33, 'Commissioner Splits'!$A$4:$J$351, 5, FALSE)*E33</f>
        <v>0</v>
      </c>
      <c r="L33" s="380">
        <f>VLOOKUP($I33, 'Commissioner Splits'!$A$4:$J$351, 7, FALSE)*E33</f>
        <v>0</v>
      </c>
      <c r="M33" s="380">
        <f>VLOOKUP($I33, 'Commissioner Splits'!$A$4:$J$351, 10, FALSE)*E33</f>
        <v>0.26816399999999974</v>
      </c>
      <c r="N33" s="380">
        <f>VLOOKUP($I33, 'Commissioner Splits'!$A$4:$J$351, 4, FALSE)*E33</f>
        <v>0</v>
      </c>
      <c r="O33" s="380">
        <f>VLOOKUP($I33, 'Commissioner Splits'!$A$4:$J$351, 6, FALSE)*E33</f>
        <v>0</v>
      </c>
      <c r="P33" s="380">
        <f>VLOOKUP($I33, 'Commissioner Splits'!$A$4:$J$351, 8, FALSE)*E33</f>
        <v>0</v>
      </c>
      <c r="Q33" s="380">
        <f>VLOOKUP($I33, 'Commissioner Splits'!$A$4:$J$351,9, FALSE)*E33</f>
        <v>0</v>
      </c>
      <c r="R33" s="452">
        <f t="shared" si="5"/>
        <v>0.26816399999999974</v>
      </c>
    </row>
    <row r="34" spans="1:28" s="3" customFormat="1" ht="16.5" customHeight="1" x14ac:dyDescent="0.2">
      <c r="A34" s="765" t="s">
        <v>52</v>
      </c>
      <c r="B34" s="727" t="s">
        <v>192</v>
      </c>
      <c r="C34" s="118"/>
      <c r="D34" s="467" t="s">
        <v>38</v>
      </c>
      <c r="E34" s="419">
        <v>2.860533333333333E-2</v>
      </c>
      <c r="F34" s="419">
        <v>2.860533333333333E-2</v>
      </c>
      <c r="G34" s="419">
        <v>2.860533333333333E-2</v>
      </c>
      <c r="H34" s="83"/>
      <c r="I34" s="464">
        <v>115</v>
      </c>
      <c r="J34" s="406" t="str">
        <f>CONCATENATE(VLOOKUP($I34, '[2]Commissioner Splits'!$A$4:$C$351, 2, FALSE), "     ", VLOOKUP($I34, '[2]Commissioner Splits'!$A$4:$C$351, 3, FALSE))</f>
        <v>BCU     Haemophilia</v>
      </c>
      <c r="K34" s="452">
        <f>VLOOKUP($I34, 'Commissioner Splits'!$A$4:$J$351, 5, FALSE)*E34</f>
        <v>0</v>
      </c>
      <c r="L34" s="380">
        <f>VLOOKUP($I34, 'Commissioner Splits'!$A$4:$J$351, 7, FALSE)*E34</f>
        <v>0</v>
      </c>
      <c r="M34" s="380">
        <f>VLOOKUP($I34, 'Commissioner Splits'!$A$4:$J$351, 10, FALSE)*E34</f>
        <v>2.860533333333333E-2</v>
      </c>
      <c r="N34" s="380">
        <f>VLOOKUP($I34, 'Commissioner Splits'!$A$4:$J$351, 4, FALSE)*E34</f>
        <v>0</v>
      </c>
      <c r="O34" s="380">
        <f>VLOOKUP($I34, 'Commissioner Splits'!$A$4:$J$351, 6, FALSE)*E34</f>
        <v>0</v>
      </c>
      <c r="P34" s="380">
        <f>VLOOKUP($I34, 'Commissioner Splits'!$A$4:$J$351, 8, FALSE)*E34</f>
        <v>0</v>
      </c>
      <c r="Q34" s="380">
        <f>VLOOKUP($I34, 'Commissioner Splits'!$A$4:$J$351,9, FALSE)*E34</f>
        <v>0</v>
      </c>
      <c r="R34" s="452">
        <f t="shared" si="5"/>
        <v>2.860533333333333E-2</v>
      </c>
    </row>
    <row r="35" spans="1:28" s="3" customFormat="1" ht="16.5" customHeight="1" x14ac:dyDescent="0.2">
      <c r="A35" s="767" t="s">
        <v>54</v>
      </c>
      <c r="B35" s="727" t="s">
        <v>55</v>
      </c>
      <c r="D35" s="465" t="s">
        <v>38</v>
      </c>
      <c r="E35" s="419">
        <v>0</v>
      </c>
      <c r="F35" s="419">
        <v>0</v>
      </c>
      <c r="G35" s="419">
        <v>0</v>
      </c>
      <c r="H35" s="83"/>
      <c r="I35" s="464">
        <v>10</v>
      </c>
      <c r="J35" s="406" t="str">
        <f>CONCATENATE(VLOOKUP($I35, '[2]Commissioner Splits'!$A$4:$C$351, 2, FALSE), "     ", VLOOKUP($I35, '[2]Commissioner Splits'!$A$4:$C$351, 3, FALSE))</f>
        <v xml:space="preserve">Cardiff &amp; Vale     ABM Cardiology </v>
      </c>
      <c r="K35" s="452">
        <f>VLOOKUP($I35, 'Commissioner Splits'!$A$4:$J$351, 5, FALSE)*E35</f>
        <v>0</v>
      </c>
      <c r="L35" s="380">
        <f>VLOOKUP($I35, 'Commissioner Splits'!$A$4:$J$351, 7, FALSE)*E35</f>
        <v>0</v>
      </c>
      <c r="M35" s="380">
        <f>VLOOKUP($I35, 'Commissioner Splits'!$A$4:$J$351, 10, FALSE)*E35</f>
        <v>0</v>
      </c>
      <c r="N35" s="380">
        <f>VLOOKUP($I35, 'Commissioner Splits'!$A$4:$J$351, 4, FALSE)*E35</f>
        <v>0</v>
      </c>
      <c r="O35" s="380">
        <f>VLOOKUP($I35, 'Commissioner Splits'!$A$4:$J$351, 6, FALSE)*E35</f>
        <v>0</v>
      </c>
      <c r="P35" s="380">
        <f>VLOOKUP($I35, 'Commissioner Splits'!$A$4:$J$351, 8, FALSE)*E35</f>
        <v>0</v>
      </c>
      <c r="Q35" s="380">
        <f>VLOOKUP($I35, 'Commissioner Splits'!$A$4:$J$351,9, FALSE)*E35</f>
        <v>0</v>
      </c>
      <c r="R35" s="452">
        <f t="shared" si="5"/>
        <v>0</v>
      </c>
    </row>
    <row r="36" spans="1:28" s="3" customFormat="1" ht="16.5" customHeight="1" x14ac:dyDescent="0.2">
      <c r="A36" s="767" t="s">
        <v>54</v>
      </c>
      <c r="B36" s="727" t="s">
        <v>228</v>
      </c>
      <c r="C36" s="23"/>
      <c r="D36" s="465" t="s">
        <v>38</v>
      </c>
      <c r="E36" s="419">
        <v>-0.4</v>
      </c>
      <c r="F36" s="419">
        <v>-0.4</v>
      </c>
      <c r="G36" s="419">
        <v>-0.4</v>
      </c>
      <c r="H36" s="83"/>
      <c r="I36" s="464">
        <v>63</v>
      </c>
      <c r="J36" s="406" t="str">
        <f>CONCATENATE(VLOOKUP($I36, '[2]Commissioner Splits'!$A$4:$C$351, 2, FALSE), "     ", VLOOKUP($I36, '[2]Commissioner Splits'!$A$4:$C$351, 3, FALSE))</f>
        <v>Cardiff &amp; Vale     AICU</v>
      </c>
      <c r="K36" s="452">
        <f>VLOOKUP($I36, 'Commissioner Splits'!$A$4:$J$351, 5, FALSE)*E36</f>
        <v>-0.10922981540369192</v>
      </c>
      <c r="L36" s="380">
        <f>VLOOKUP($I36, 'Commissioner Splits'!$A$4:$J$351, 7, FALSE)*E36</f>
        <v>-8.7282254354912908E-2</v>
      </c>
      <c r="M36" s="380">
        <f>VLOOKUP($I36, 'Commissioner Splits'!$A$4:$J$351, 10, FALSE)*E36</f>
        <v>0</v>
      </c>
      <c r="N36" s="380">
        <f>VLOOKUP($I36, 'Commissioner Splits'!$A$4:$J$351, 4, FALSE)*E36</f>
        <v>-0.10070998580028401</v>
      </c>
      <c r="O36" s="380">
        <f>VLOOKUP($I36, 'Commissioner Splits'!$A$4:$J$351, 6, FALSE)*E36</f>
        <v>-3.5507289854202921E-2</v>
      </c>
      <c r="P36" s="380">
        <f>VLOOKUP($I36, 'Commissioner Splits'!$A$4:$J$351, 8, FALSE)*E36</f>
        <v>-5.5906881862362756E-2</v>
      </c>
      <c r="Q36" s="380">
        <f>VLOOKUP($I36, 'Commissioner Splits'!$A$4:$J$351,9, FALSE)*E36</f>
        <v>-1.1363772724545512E-2</v>
      </c>
      <c r="R36" s="452">
        <f t="shared" si="5"/>
        <v>-0.4</v>
      </c>
    </row>
    <row r="37" spans="1:28" s="3" customFormat="1" ht="16.5" customHeight="1" x14ac:dyDescent="0.2">
      <c r="A37" s="767" t="s">
        <v>54</v>
      </c>
      <c r="B37" s="727" t="s">
        <v>206</v>
      </c>
      <c r="D37" s="465" t="s">
        <v>40</v>
      </c>
      <c r="E37" s="419">
        <v>0.73699999999999999</v>
      </c>
      <c r="F37" s="419">
        <v>0.73699999999999999</v>
      </c>
      <c r="G37" s="419">
        <v>0.73699999999999999</v>
      </c>
      <c r="H37" s="83"/>
      <c r="I37" s="464">
        <v>31</v>
      </c>
      <c r="J37" s="413" t="str">
        <f>CONCATENATE(VLOOKUP($I37, '[2]Commissioner Splits'!$A$4:$C$351, 2, FALSE), "     ", VLOOKUP($I37, '[2]Commissioner Splits'!$A$4:$C$351, 3, FALSE))</f>
        <v>Cardiff &amp; Vale     BAHAS &amp; Cochlears</v>
      </c>
      <c r="K37" s="452">
        <f>VLOOKUP($I37, 'Commissioner Splits'!$A$4:$J$351, 5, FALSE)*E37</f>
        <v>1.0380281690140845E-2</v>
      </c>
      <c r="L37" s="380">
        <f>VLOOKUP($I37, 'Commissioner Splits'!$A$4:$J$351, 7, FALSE)*E37</f>
        <v>0.22836619718309856</v>
      </c>
      <c r="M37" s="380">
        <f>VLOOKUP($I37, 'Commissioner Splits'!$A$4:$J$351, 10, FALSE)*E37</f>
        <v>0</v>
      </c>
      <c r="N37" s="380">
        <f>VLOOKUP($I37, 'Commissioner Splits'!$A$4:$J$351, 4, FALSE)*E37</f>
        <v>0.30933239436619719</v>
      </c>
      <c r="O37" s="380">
        <f>VLOOKUP($I37, 'Commissioner Splits'!$A$4:$J$351, 6, FALSE)*E37</f>
        <v>8.5118309859154931E-2</v>
      </c>
      <c r="P37" s="380">
        <f>VLOOKUP($I37, 'Commissioner Splits'!$A$4:$J$351, 8, FALSE)*E37</f>
        <v>6.6433802816901408E-2</v>
      </c>
      <c r="Q37" s="380">
        <f>VLOOKUP($I37, 'Commissioner Splits'!$A$4:$J$351,9, FALSE)*E37</f>
        <v>3.7369014084507046E-2</v>
      </c>
      <c r="R37" s="452">
        <f t="shared" ref="R37:R49" si="6">SUM(K37:Q37)</f>
        <v>0.73699999999999988</v>
      </c>
    </row>
    <row r="38" spans="1:28" s="3" customFormat="1" ht="16.5" customHeight="1" x14ac:dyDescent="0.2">
      <c r="A38" s="767" t="s">
        <v>54</v>
      </c>
      <c r="B38" s="727" t="s">
        <v>56</v>
      </c>
      <c r="D38" s="465" t="s">
        <v>24</v>
      </c>
      <c r="E38" s="419">
        <v>0.25</v>
      </c>
      <c r="F38" s="419">
        <v>0.25</v>
      </c>
      <c r="G38" s="419">
        <v>0.25</v>
      </c>
      <c r="H38" s="83"/>
      <c r="I38" s="464">
        <v>3</v>
      </c>
      <c r="J38" s="413" t="str">
        <f>CONCATENATE(VLOOKUP($I38, '[2]Commissioner Splits'!$A$4:$C$351, 2, FALSE), "     ", VLOOKUP($I38, '[2]Commissioner Splits'!$A$4:$C$351, 3, FALSE))</f>
        <v>Cardiff &amp; Vale     BMT - Phase 1</v>
      </c>
      <c r="K38" s="452">
        <f>VLOOKUP($I38, 'Commissioner Splits'!$A$4:$J$351, 5, FALSE)*E38</f>
        <v>3.9602584442370282E-2</v>
      </c>
      <c r="L38" s="380">
        <f>VLOOKUP($I38, 'Commissioner Splits'!$A$4:$J$351, 7, FALSE)*E38</f>
        <v>7.2303299532164481E-2</v>
      </c>
      <c r="M38" s="380">
        <f>VLOOKUP($I38, 'Commissioner Splits'!$A$4:$J$351, 10, FALSE)*E38</f>
        <v>0</v>
      </c>
      <c r="N38" s="380">
        <f>VLOOKUP($I38, 'Commissioner Splits'!$A$4:$J$351, 4, FALSE)*E38</f>
        <v>6.7553511812687164E-2</v>
      </c>
      <c r="O38" s="380">
        <f>VLOOKUP($I38, 'Commissioner Splits'!$A$4:$J$351, 6, FALSE)*E38</f>
        <v>4.3658843322122151E-2</v>
      </c>
      <c r="P38" s="380">
        <f>VLOOKUP($I38, 'Commissioner Splits'!$A$4:$J$351, 8, FALSE)*E38</f>
        <v>2.4595281917064803E-2</v>
      </c>
      <c r="Q38" s="380">
        <f>VLOOKUP($I38, 'Commissioner Splits'!$A$4:$J$351,9, FALSE)*E38</f>
        <v>2.286478973591066E-3</v>
      </c>
      <c r="R38" s="452">
        <f t="shared" si="6"/>
        <v>0.24999999999999997</v>
      </c>
    </row>
    <row r="39" spans="1:28" s="3" customFormat="1" ht="16.5" customHeight="1" x14ac:dyDescent="0.2">
      <c r="A39" s="767" t="s">
        <v>54</v>
      </c>
      <c r="B39" s="727" t="s">
        <v>57</v>
      </c>
      <c r="D39" s="465" t="s">
        <v>50</v>
      </c>
      <c r="E39" s="419">
        <v>0.45442399999999999</v>
      </c>
      <c r="F39" s="419">
        <v>0.45442399999999999</v>
      </c>
      <c r="G39" s="419">
        <v>0.45442399999999999</v>
      </c>
      <c r="H39" s="83"/>
      <c r="I39" s="464">
        <v>12</v>
      </c>
      <c r="J39" s="406" t="str">
        <f>CONCATENATE(VLOOKUP($I39, '[2]Commissioner Splits'!$A$4:$C$351, 2, FALSE), "     ", VLOOKUP($I39, '[2]Commissioner Splits'!$A$4:$C$351, 3, FALSE))</f>
        <v>Cardiff &amp; Vale     Cardiac Surgery</v>
      </c>
      <c r="K39" s="452">
        <f>VLOOKUP($I39, 'Commissioner Splits'!$A$4:$J$351, 5, FALSE)*E39</f>
        <v>1.3698239744966726E-2</v>
      </c>
      <c r="L39" s="380">
        <f>VLOOKUP($I39, 'Commissioner Splits'!$A$4:$J$351, 7, FALSE)*E39</f>
        <v>0.21373163891201058</v>
      </c>
      <c r="M39" s="380">
        <f>VLOOKUP($I39, 'Commissioner Splits'!$A$4:$J$351, 10, FALSE)*E39</f>
        <v>0</v>
      </c>
      <c r="N39" s="380">
        <f>VLOOKUP($I39, 'Commissioner Splits'!$A$4:$J$351, 4, FALSE)*E39</f>
        <v>0.12017461807692179</v>
      </c>
      <c r="O39" s="380">
        <f>VLOOKUP($I39, 'Commissioner Splits'!$A$4:$J$351, 6, FALSE)*E39</f>
        <v>9.3672983763927894E-2</v>
      </c>
      <c r="P39" s="380">
        <f>VLOOKUP($I39, 'Commissioner Splits'!$A$4:$J$351, 8, FALSE)*E39</f>
        <v>2.4092786973044155E-3</v>
      </c>
      <c r="Q39" s="380">
        <f>VLOOKUP($I39, 'Commissioner Splits'!$A$4:$J$351,9, FALSE)*E39</f>
        <v>1.0737240804868629E-2</v>
      </c>
      <c r="R39" s="452">
        <f t="shared" si="6"/>
        <v>0.45442400000000005</v>
      </c>
    </row>
    <row r="40" spans="1:28" s="3" customFormat="1" ht="16.5" customHeight="1" x14ac:dyDescent="0.2">
      <c r="A40" s="767" t="s">
        <v>54</v>
      </c>
      <c r="B40" s="727" t="s">
        <v>200</v>
      </c>
      <c r="D40" s="465" t="s">
        <v>40</v>
      </c>
      <c r="E40" s="419">
        <v>-7.0679999999999996E-3</v>
      </c>
      <c r="F40" s="419">
        <v>-7.0679999999999996E-3</v>
      </c>
      <c r="G40" s="419">
        <v>-7.0679999999999996E-3</v>
      </c>
      <c r="H40" s="83"/>
      <c r="I40" s="464">
        <v>14</v>
      </c>
      <c r="J40" s="406" t="str">
        <f>CONCATENATE(VLOOKUP($I40, '[2]Commissioner Splits'!$A$4:$C$351, 2, FALSE), "     ", VLOOKUP($I40, '[2]Commissioner Splits'!$A$4:$C$351, 3, FALSE))</f>
        <v>Cardiff &amp; Vale     Cardiac Surgery - Development S E Wales</v>
      </c>
      <c r="K40" s="452">
        <f>VLOOKUP($I40, 'Commissioner Splits'!$A$4:$J$351, 5, FALSE)*E40</f>
        <v>-2.1305907812400936E-4</v>
      </c>
      <c r="L40" s="380">
        <f>VLOOKUP($I40, 'Commissioner Splits'!$A$4:$J$351, 7, FALSE)*E40</f>
        <v>-3.3243297533362909E-3</v>
      </c>
      <c r="M40" s="380">
        <f>VLOOKUP($I40, 'Commissioner Splits'!$A$4:$J$351, 10, FALSE)*E40</f>
        <v>0</v>
      </c>
      <c r="N40" s="380">
        <f>VLOOKUP($I40, 'Commissioner Splits'!$A$4:$J$351, 4, FALSE)*E40</f>
        <v>-1.8691666825864902E-3</v>
      </c>
      <c r="O40" s="380">
        <f>VLOOKUP($I40, 'Commissioner Splits'!$A$4:$J$351, 6, FALSE)*E40</f>
        <v>-1.456966729845788E-3</v>
      </c>
      <c r="P40" s="380">
        <f>VLOOKUP($I40, 'Commissioner Splits'!$A$4:$J$351, 8, FALSE)*E40</f>
        <v>-3.7473332906157263E-5</v>
      </c>
      <c r="Q40" s="380">
        <f>VLOOKUP($I40, 'Commissioner Splits'!$A$4:$J$351,9, FALSE)*E40</f>
        <v>-1.6700442320126462E-4</v>
      </c>
      <c r="R40" s="452">
        <f t="shared" si="6"/>
        <v>-7.0680000000000005E-3</v>
      </c>
      <c r="T40" s="4"/>
      <c r="U40" s="4"/>
      <c r="V40" s="4"/>
      <c r="W40" s="4"/>
      <c r="X40" s="4"/>
      <c r="Y40" s="4"/>
      <c r="Z40" s="4"/>
      <c r="AA40" s="4"/>
      <c r="AB40" s="4"/>
    </row>
    <row r="41" spans="1:28" s="3" customFormat="1" ht="16.5" customHeight="1" x14ac:dyDescent="0.2">
      <c r="A41" s="767" t="s">
        <v>54</v>
      </c>
      <c r="B41" s="727" t="s">
        <v>199</v>
      </c>
      <c r="D41" s="465" t="s">
        <v>50</v>
      </c>
      <c r="E41" s="419">
        <v>-0.46136500000000003</v>
      </c>
      <c r="F41" s="419">
        <v>-0.46136500000000003</v>
      </c>
      <c r="G41" s="419">
        <v>-0.46136500000000003</v>
      </c>
      <c r="H41" s="83"/>
      <c r="I41" s="464">
        <v>13</v>
      </c>
      <c r="J41" s="406" t="str">
        <f>CONCATENATE(VLOOKUP($I41, '[2]Commissioner Splits'!$A$4:$C$351, 2, FALSE), "     ", VLOOKUP($I41, '[2]Commissioner Splits'!$A$4:$C$351, 3, FALSE))</f>
        <v>Cardiff &amp; Vale     Cardiac Surgery - Development S W Wales</v>
      </c>
      <c r="K41" s="452">
        <f>VLOOKUP($I41, 'Commissioner Splits'!$A$4:$J$351, 5, FALSE)*E41</f>
        <v>-0.46136500000000003</v>
      </c>
      <c r="L41" s="380">
        <f>VLOOKUP($I41, 'Commissioner Splits'!$A$4:$J$351, 7, FALSE)*E41</f>
        <v>0</v>
      </c>
      <c r="M41" s="380">
        <f>VLOOKUP($I41, 'Commissioner Splits'!$A$4:$J$351, 10, FALSE)*E41</f>
        <v>0</v>
      </c>
      <c r="N41" s="380">
        <f>VLOOKUP($I41, 'Commissioner Splits'!$A$4:$J$351, 4, FALSE)*E41</f>
        <v>0</v>
      </c>
      <c r="O41" s="380">
        <f>VLOOKUP($I41, 'Commissioner Splits'!$A$4:$J$351, 6, FALSE)*E41</f>
        <v>0</v>
      </c>
      <c r="P41" s="380">
        <f>VLOOKUP($I41, 'Commissioner Splits'!$A$4:$J$351, 8, FALSE)*E41</f>
        <v>0</v>
      </c>
      <c r="Q41" s="380">
        <f>VLOOKUP($I41, 'Commissioner Splits'!$A$4:$J$351,9, FALSE)*E41</f>
        <v>0</v>
      </c>
      <c r="R41" s="452">
        <f t="shared" si="6"/>
        <v>-0.46136500000000003</v>
      </c>
    </row>
    <row r="42" spans="1:28" s="3" customFormat="1" ht="16.5" customHeight="1" x14ac:dyDescent="0.2">
      <c r="A42" s="767" t="s">
        <v>54</v>
      </c>
      <c r="B42" s="727" t="s">
        <v>58</v>
      </c>
      <c r="D42" s="465" t="s">
        <v>40</v>
      </c>
      <c r="E42" s="419">
        <v>0.25690199999999996</v>
      </c>
      <c r="F42" s="419">
        <v>0.25690199999999996</v>
      </c>
      <c r="G42" s="419">
        <v>0.25690199999999996</v>
      </c>
      <c r="H42" s="83"/>
      <c r="I42" s="464">
        <v>15</v>
      </c>
      <c r="J42" s="406" t="str">
        <f>CONCATENATE(VLOOKUP($I42, '[2]Commissioner Splits'!$A$4:$C$351, 2, FALSE), "     ", VLOOKUP($I42, '[2]Commissioner Splits'!$A$4:$C$351, 3, FALSE))</f>
        <v>Cardiff &amp; Vale     Cardiac Surgery-TAVI</v>
      </c>
      <c r="K42" s="452">
        <f>VLOOKUP($I42, 'Commissioner Splits'!$A$4:$J$351, 5, FALSE)*E42</f>
        <v>0</v>
      </c>
      <c r="L42" s="380">
        <f>VLOOKUP($I42, 'Commissioner Splits'!$A$4:$J$351, 7, FALSE)*E42</f>
        <v>0.11417866666666665</v>
      </c>
      <c r="M42" s="380">
        <f>VLOOKUP($I42, 'Commissioner Splits'!$A$4:$J$351, 10, FALSE)*E42</f>
        <v>0</v>
      </c>
      <c r="N42" s="380">
        <f>VLOOKUP($I42, 'Commissioner Splits'!$A$4:$J$351, 4, FALSE)*E42</f>
        <v>9.9906333333333319E-2</v>
      </c>
      <c r="O42" s="380">
        <f>VLOOKUP($I42, 'Commissioner Splits'!$A$4:$J$351, 6, FALSE)*E42</f>
        <v>4.2816999999999994E-2</v>
      </c>
      <c r="P42" s="380">
        <f>VLOOKUP($I42, 'Commissioner Splits'!$A$4:$J$351, 8, FALSE)*E42</f>
        <v>0</v>
      </c>
      <c r="Q42" s="380">
        <f>VLOOKUP($I42, 'Commissioner Splits'!$A$4:$J$351,9, FALSE)*E42</f>
        <v>0</v>
      </c>
      <c r="R42" s="452">
        <f t="shared" si="6"/>
        <v>0.25690199999999996</v>
      </c>
    </row>
    <row r="43" spans="1:28" s="3" customFormat="1" ht="16.5" customHeight="1" x14ac:dyDescent="0.2">
      <c r="A43" s="767" t="s">
        <v>54</v>
      </c>
      <c r="B43" s="727" t="s">
        <v>59</v>
      </c>
      <c r="D43" s="465" t="s">
        <v>40</v>
      </c>
      <c r="E43" s="419">
        <v>-9.2772999999999994E-2</v>
      </c>
      <c r="F43" s="419">
        <v>-9.2772999999999994E-2</v>
      </c>
      <c r="G43" s="419">
        <v>-9.2772999999999994E-2</v>
      </c>
      <c r="H43" s="83"/>
      <c r="I43" s="464">
        <v>6</v>
      </c>
      <c r="J43" s="413" t="str">
        <f>CONCATENATE(VLOOKUP($I43, '[2]Commissioner Splits'!$A$4:$C$351, 2, FALSE), "     ", VLOOKUP($I43, '[2]Commissioner Splits'!$A$4:$C$351, 3, FALSE))</f>
        <v>Cardiff &amp; Vale     Cardiology for AB</v>
      </c>
      <c r="K43" s="452">
        <f>VLOOKUP($I43, 'Commissioner Splits'!$A$4:$J$351, 5, FALSE)*E43</f>
        <v>0</v>
      </c>
      <c r="L43" s="380">
        <f>VLOOKUP($I43, 'Commissioner Splits'!$A$4:$J$351, 7, FALSE)*E43</f>
        <v>-9.2772999999999994E-2</v>
      </c>
      <c r="M43" s="380">
        <f>VLOOKUP($I43, 'Commissioner Splits'!$A$4:$J$351, 10, FALSE)*E43</f>
        <v>0</v>
      </c>
      <c r="N43" s="380">
        <f>VLOOKUP($I43, 'Commissioner Splits'!$A$4:$J$351, 4, FALSE)*E43</f>
        <v>0</v>
      </c>
      <c r="O43" s="380">
        <f>VLOOKUP($I43, 'Commissioner Splits'!$A$4:$J$351, 6, FALSE)*E43</f>
        <v>0</v>
      </c>
      <c r="P43" s="380">
        <f>VLOOKUP($I43, 'Commissioner Splits'!$A$4:$J$351, 8, FALSE)*E43</f>
        <v>0</v>
      </c>
      <c r="Q43" s="380">
        <f>VLOOKUP($I43, 'Commissioner Splits'!$A$4:$J$351,9, FALSE)*E43</f>
        <v>0</v>
      </c>
      <c r="R43" s="452">
        <f t="shared" si="6"/>
        <v>-9.2772999999999994E-2</v>
      </c>
    </row>
    <row r="44" spans="1:28" s="3" customFormat="1" ht="16.5" customHeight="1" x14ac:dyDescent="0.2">
      <c r="A44" s="767" t="s">
        <v>54</v>
      </c>
      <c r="B44" s="727" t="s">
        <v>580</v>
      </c>
      <c r="D44" s="465" t="s">
        <v>43</v>
      </c>
      <c r="E44" s="419">
        <v>-3.6810000000000002E-2</v>
      </c>
      <c r="F44" s="419">
        <v>-3.6810000000000002E-2</v>
      </c>
      <c r="G44" s="419">
        <v>-3.6810000000000002E-2</v>
      </c>
      <c r="H44" s="83"/>
      <c r="I44" s="464">
        <v>6</v>
      </c>
      <c r="J44" s="406" t="str">
        <f>CONCATENATE(VLOOKUP($I44, '[2]Commissioner Splits'!$A$4:$C$351, 2, FALSE), "     ", VLOOKUP($I44, '[2]Commissioner Splits'!$A$4:$C$351, 3, FALSE))</f>
        <v>Cardiff &amp; Vale     Cardiology for AB</v>
      </c>
      <c r="K44" s="452">
        <f>VLOOKUP($I44, 'Commissioner Splits'!$A$4:$J$351, 5, FALSE)*E44</f>
        <v>0</v>
      </c>
      <c r="L44" s="380">
        <f>VLOOKUP($I44, 'Commissioner Splits'!$A$4:$J$351, 7, FALSE)*E44</f>
        <v>-3.6810000000000002E-2</v>
      </c>
      <c r="M44" s="380">
        <f>VLOOKUP($I44, 'Commissioner Splits'!$A$4:$J$351, 10, FALSE)*E44</f>
        <v>0</v>
      </c>
      <c r="N44" s="380">
        <f>VLOOKUP($I44, 'Commissioner Splits'!$A$4:$J$351, 4, FALSE)*E44</f>
        <v>0</v>
      </c>
      <c r="O44" s="380">
        <f>VLOOKUP($I44, 'Commissioner Splits'!$A$4:$J$351, 6, FALSE)*E44</f>
        <v>0</v>
      </c>
      <c r="P44" s="380">
        <f>VLOOKUP($I44, 'Commissioner Splits'!$A$4:$J$351, 8, FALSE)*E44</f>
        <v>0</v>
      </c>
      <c r="Q44" s="380">
        <f>VLOOKUP($I44, 'Commissioner Splits'!$A$4:$J$351,9, FALSE)*E44</f>
        <v>0</v>
      </c>
      <c r="R44" s="452">
        <f t="shared" si="6"/>
        <v>-3.6810000000000002E-2</v>
      </c>
    </row>
    <row r="45" spans="1:28" s="3" customFormat="1" ht="16.5" customHeight="1" x14ac:dyDescent="0.2">
      <c r="A45" s="767" t="s">
        <v>54</v>
      </c>
      <c r="B45" s="727" t="s">
        <v>158</v>
      </c>
      <c r="D45" s="465" t="s">
        <v>50</v>
      </c>
      <c r="E45" s="419">
        <v>-0.10725444444444446</v>
      </c>
      <c r="F45" s="419">
        <v>-0.10725444444444446</v>
      </c>
      <c r="G45" s="419">
        <v>-0.10725444444444446</v>
      </c>
      <c r="H45" s="83"/>
      <c r="I45" s="464">
        <v>7</v>
      </c>
      <c r="J45" s="406" t="str">
        <f>CONCATENATE(VLOOKUP($I45, '[2]Commissioner Splits'!$A$4:$C$351, 2, FALSE), "     ", VLOOKUP($I45, '[2]Commissioner Splits'!$A$4:$C$351, 3, FALSE))</f>
        <v>Cardiff &amp; Vale     Cwm Taf Cardiology PPCI</v>
      </c>
      <c r="K45" s="452">
        <f>VLOOKUP($I45, 'Commissioner Splits'!$A$4:$J$351, 5, FALSE)*E45</f>
        <v>0</v>
      </c>
      <c r="L45" s="380">
        <f>VLOOKUP($I45, 'Commissioner Splits'!$A$4:$J$351, 7, FALSE)*E45</f>
        <v>0</v>
      </c>
      <c r="M45" s="380">
        <f>VLOOKUP($I45, 'Commissioner Splits'!$A$4:$J$351, 10, FALSE)*E45</f>
        <v>0</v>
      </c>
      <c r="N45" s="380">
        <f>VLOOKUP($I45, 'Commissioner Splits'!$A$4:$J$351, 4, FALSE)*E45</f>
        <v>0</v>
      </c>
      <c r="O45" s="380">
        <f>VLOOKUP($I45, 'Commissioner Splits'!$A$4:$J$351, 6, FALSE)*E45</f>
        <v>-0.10725444444444446</v>
      </c>
      <c r="P45" s="380">
        <f>VLOOKUP($I45, 'Commissioner Splits'!$A$4:$J$351, 8, FALSE)*E45</f>
        <v>0</v>
      </c>
      <c r="Q45" s="380">
        <f>VLOOKUP($I45, 'Commissioner Splits'!$A$4:$J$351,9, FALSE)*E45</f>
        <v>0</v>
      </c>
      <c r="R45" s="452">
        <f t="shared" si="6"/>
        <v>-0.10725444444444446</v>
      </c>
    </row>
    <row r="46" spans="1:28" s="3" customFormat="1" ht="16.5" customHeight="1" x14ac:dyDescent="0.2">
      <c r="A46" s="767" t="s">
        <v>54</v>
      </c>
      <c r="B46" s="727" t="s">
        <v>192</v>
      </c>
      <c r="D46" s="465" t="s">
        <v>40</v>
      </c>
      <c r="E46" s="419">
        <v>-0.270486</v>
      </c>
      <c r="F46" s="419">
        <v>-0.270486</v>
      </c>
      <c r="G46" s="419">
        <v>-0.270486</v>
      </c>
      <c r="H46" s="83"/>
      <c r="I46" s="464">
        <v>1</v>
      </c>
      <c r="J46" s="406" t="str">
        <f>CONCATENATE(VLOOKUP($I46, '[2]Commissioner Splits'!$A$4:$C$351, 2, FALSE), "     ", VLOOKUP($I46, '[2]Commissioner Splits'!$A$4:$C$351, 3, FALSE))</f>
        <v>Cardiff &amp; Vale     Haemophilia</v>
      </c>
      <c r="K46" s="452">
        <f>VLOOKUP($I46, 'Commissioner Splits'!$A$4:$J$351, 5, FALSE)*E46</f>
        <v>-2.8006120439999997E-2</v>
      </c>
      <c r="L46" s="380">
        <f>VLOOKUP($I46, 'Commissioner Splits'!$A$4:$J$351, 7, FALSE)*E46</f>
        <v>-7.0518405059999997E-2</v>
      </c>
      <c r="M46" s="380">
        <f>VLOOKUP($I46, 'Commissioner Splits'!$A$4:$J$351, 10, FALSE)*E46</f>
        <v>0</v>
      </c>
      <c r="N46" s="380">
        <f>VLOOKUP($I46, 'Commissioner Splits'!$A$4:$J$351, 4, FALSE)*E46</f>
        <v>-9.5092058159999993E-2</v>
      </c>
      <c r="O46" s="380">
        <f>VLOOKUP($I46, 'Commissioner Splits'!$A$4:$J$351, 6, FALSE)*E46</f>
        <v>-3.9098751300000005E-2</v>
      </c>
      <c r="P46" s="380">
        <f>VLOOKUP($I46, 'Commissioner Splits'!$A$4:$J$351, 8, FALSE)*E46</f>
        <v>-1.020002706E-2</v>
      </c>
      <c r="Q46" s="380">
        <f>VLOOKUP($I46, 'Commissioner Splits'!$A$4:$J$351,9, FALSE)*E46</f>
        <v>-2.7570637980000003E-2</v>
      </c>
      <c r="R46" s="452">
        <f t="shared" si="6"/>
        <v>-0.270486</v>
      </c>
      <c r="T46" s="4"/>
      <c r="U46" s="4"/>
      <c r="V46" s="4"/>
      <c r="W46" s="4"/>
      <c r="X46" s="4"/>
      <c r="Y46" s="4"/>
      <c r="Z46" s="4"/>
      <c r="AA46" s="4"/>
      <c r="AB46" s="4"/>
    </row>
    <row r="47" spans="1:28" s="3" customFormat="1" ht="16.5" customHeight="1" x14ac:dyDescent="0.2">
      <c r="A47" s="767" t="s">
        <v>54</v>
      </c>
      <c r="B47" s="727" t="s">
        <v>229</v>
      </c>
      <c r="D47" s="465" t="s">
        <v>40</v>
      </c>
      <c r="E47" s="419">
        <v>-6.9000000000000006E-2</v>
      </c>
      <c r="F47" s="419">
        <v>-6.9000000000000006E-2</v>
      </c>
      <c r="G47" s="419">
        <v>-6.9000000000000006E-2</v>
      </c>
      <c r="H47" s="83"/>
      <c r="I47" s="464">
        <v>64</v>
      </c>
      <c r="J47" s="406" t="str">
        <f>CONCATENATE(VLOOKUP($I47, '[2]Commissioner Splits'!$A$4:$C$351, 2, FALSE), "     ", VLOOKUP($I47, '[2]Commissioner Splits'!$A$4:$C$351, 3, FALSE))</f>
        <v>Cardiff &amp; Vale     HDU</v>
      </c>
      <c r="K47" s="452">
        <f>VLOOKUP($I47, 'Commissioner Splits'!$A$4:$J$351, 5, FALSE)*E47</f>
        <v>-9.7263372633726343E-3</v>
      </c>
      <c r="L47" s="380">
        <f>VLOOKUP($I47, 'Commissioner Splits'!$A$4:$J$351, 7, FALSE)*E47</f>
        <v>-1.5218792187921881E-2</v>
      </c>
      <c r="M47" s="380">
        <f>VLOOKUP($I47, 'Commissioner Splits'!$A$4:$J$351, 10, FALSE)*E47</f>
        <v>0</v>
      </c>
      <c r="N47" s="380">
        <f>VLOOKUP($I47, 'Commissioner Splits'!$A$4:$J$351, 4, FALSE)*E47</f>
        <v>-2.7577505775057756E-2</v>
      </c>
      <c r="O47" s="380">
        <f>VLOOKUP($I47, 'Commissioner Splits'!$A$4:$J$351, 6, FALSE)*E47</f>
        <v>-9.039780397803978E-3</v>
      </c>
      <c r="P47" s="380">
        <f>VLOOKUP($I47, 'Commissioner Splits'!$A$4:$J$351, 8, FALSE)*E47</f>
        <v>-6.9801098010980117E-3</v>
      </c>
      <c r="Q47" s="380">
        <f>VLOOKUP($I47, 'Commissioner Splits'!$A$4:$J$351,9, FALSE)*E47</f>
        <v>-4.5747457474574745E-4</v>
      </c>
      <c r="R47" s="452">
        <f t="shared" si="6"/>
        <v>-6.9000000000000006E-2</v>
      </c>
    </row>
    <row r="48" spans="1:28" s="3" customFormat="1" ht="16.5" customHeight="1" x14ac:dyDescent="0.2">
      <c r="A48" s="767" t="s">
        <v>54</v>
      </c>
      <c r="B48" s="727" t="s">
        <v>61</v>
      </c>
      <c r="D48" s="465" t="s">
        <v>40</v>
      </c>
      <c r="E48" s="419">
        <v>-0.15202533333333321</v>
      </c>
      <c r="F48" s="419">
        <v>-0.15202533333333321</v>
      </c>
      <c r="G48" s="419">
        <v>-0.15202533333333321</v>
      </c>
      <c r="H48" s="83"/>
      <c r="I48" s="464">
        <v>18</v>
      </c>
      <c r="J48" s="406" t="str">
        <f>CONCATENATE(VLOOKUP($I48, '[2]Commissioner Splits'!$A$4:$C$351, 2, FALSE), "     ", VLOOKUP($I48, '[2]Commissioner Splits'!$A$4:$C$351, 3, FALSE))</f>
        <v>Cardiff &amp; Vale     Home Renal Dialysis</v>
      </c>
      <c r="K48" s="452">
        <f>VLOOKUP($I48, 'Commissioner Splits'!$A$4:$J$351, 5, FALSE)*E48</f>
        <v>-2.4816615413333312E-2</v>
      </c>
      <c r="L48" s="380">
        <f>VLOOKUP($I48, 'Commissioner Splits'!$A$4:$J$351, 7, FALSE)*E48</f>
        <v>-7.820487197333327E-2</v>
      </c>
      <c r="M48" s="380">
        <f>VLOOKUP($I48, 'Commissioner Splits'!$A$4:$J$351, 10, FALSE)*E48</f>
        <v>0</v>
      </c>
      <c r="N48" s="380">
        <f>VLOOKUP($I48, 'Commissioner Splits'!$A$4:$J$351, 4, FALSE)*E48</f>
        <v>-1.9834745239999983E-2</v>
      </c>
      <c r="O48" s="380">
        <f>VLOOKUP($I48, 'Commissioner Splits'!$A$4:$J$351, 6, FALSE)*E48</f>
        <v>-2.9169100706666645E-2</v>
      </c>
      <c r="P48" s="380">
        <f>VLOOKUP($I48, 'Commissioner Splits'!$A$4:$J$351, 8, FALSE)*E48</f>
        <v>0</v>
      </c>
      <c r="Q48" s="380">
        <f>VLOOKUP($I48, 'Commissioner Splits'!$A$4:$J$351,9, FALSE)*E48</f>
        <v>0</v>
      </c>
      <c r="R48" s="452">
        <f t="shared" si="6"/>
        <v>-0.15202533333333321</v>
      </c>
    </row>
    <row r="49" spans="1:28" s="3" customFormat="1" ht="16.5" customHeight="1" x14ac:dyDescent="0.2">
      <c r="A49" s="767" t="s">
        <v>54</v>
      </c>
      <c r="B49" s="728" t="s">
        <v>62</v>
      </c>
      <c r="D49" s="465" t="s">
        <v>24</v>
      </c>
      <c r="E49" s="419">
        <v>3.6210000000000001E-3</v>
      </c>
      <c r="F49" s="419">
        <v>3.6210000000000001E-3</v>
      </c>
      <c r="G49" s="419">
        <v>3.6210000000000001E-3</v>
      </c>
      <c r="H49" s="83"/>
      <c r="I49" s="464">
        <v>56</v>
      </c>
      <c r="J49" s="660" t="str">
        <f>CONCATENATE(VLOOKUP($I49, '[2]Commissioner Splits'!$A$4:$C$351, 2, FALSE), "     ", VLOOKUP($I49, '[2]Commissioner Splits'!$A$4:$C$351, 3, FALSE))</f>
        <v>Cardiff &amp; Vale     Home TPN</v>
      </c>
      <c r="K49" s="452">
        <f>VLOOKUP($I49, 'Commissioner Splits'!$A$4:$J$351, 5, FALSE)*E49</f>
        <v>1.2955938000000004E-4</v>
      </c>
      <c r="L49" s="380">
        <f>VLOOKUP($I49, 'Commissioner Splits'!$A$4:$J$351, 7, FALSE)*E49</f>
        <v>6.2509323000000012E-4</v>
      </c>
      <c r="M49" s="380">
        <f>VLOOKUP($I49, 'Commissioner Splits'!$A$4:$J$351, 10, FALSE)*E49</f>
        <v>0</v>
      </c>
      <c r="N49" s="380">
        <f>VLOOKUP($I49, 'Commissioner Splits'!$A$4:$J$351, 4, FALSE)*E49</f>
        <v>1.8682911600000005E-3</v>
      </c>
      <c r="O49" s="380">
        <f>VLOOKUP($I49, 'Commissioner Splits'!$A$4:$J$351, 6, FALSE)*E49</f>
        <v>5.8656579000000014E-4</v>
      </c>
      <c r="P49" s="380">
        <f>VLOOKUP($I49, 'Commissioner Splits'!$A$4:$J$351, 8, FALSE)*E49</f>
        <v>2.8891959000000003E-4</v>
      </c>
      <c r="Q49" s="380">
        <f>VLOOKUP($I49, 'Commissioner Splits'!$A$4:$J$351,9, FALSE)*E49</f>
        <v>1.2257085000000003E-4</v>
      </c>
      <c r="R49" s="452">
        <f t="shared" si="6"/>
        <v>3.6210000000000005E-3</v>
      </c>
    </row>
    <row r="50" spans="1:28" s="3" customFormat="1" ht="16.5" customHeight="1" x14ac:dyDescent="0.2">
      <c r="A50" s="767" t="s">
        <v>54</v>
      </c>
      <c r="B50" s="727" t="s">
        <v>63</v>
      </c>
      <c r="D50" s="465" t="s">
        <v>47</v>
      </c>
      <c r="E50" s="419">
        <v>-1.0339640000000008</v>
      </c>
      <c r="F50" s="419">
        <v>-1.0339640000000008</v>
      </c>
      <c r="G50" s="419">
        <v>-1.0339640000000008</v>
      </c>
      <c r="H50" s="83"/>
      <c r="I50" s="464">
        <v>20</v>
      </c>
      <c r="J50" s="660" t="str">
        <f>CONCATENATE(VLOOKUP($I50, '[2]Commissioner Splits'!$A$4:$C$351, 2, FALSE), "     ", VLOOKUP($I50, '[2]Commissioner Splits'!$A$4:$C$351, 3, FALSE))</f>
        <v>Cardiff &amp; Vale     Hospital Renal Dialysis</v>
      </c>
      <c r="K50" s="452">
        <f>VLOOKUP($I50, 'Commissioner Splits'!$A$4:$J$351, 5, FALSE)*E50</f>
        <v>-5.5108456213361093E-2</v>
      </c>
      <c r="L50" s="380">
        <f>VLOOKUP($I50, 'Commissioner Splits'!$A$4:$J$351, 7, FALSE)*E50</f>
        <v>-0.42628702887351805</v>
      </c>
      <c r="M50" s="380">
        <f>VLOOKUP($I50, 'Commissioner Splits'!$A$4:$J$351, 10, FALSE)*E50</f>
        <v>0</v>
      </c>
      <c r="N50" s="380">
        <f>VLOOKUP($I50, 'Commissioner Splits'!$A$4:$J$351, 4, FALSE)*E50</f>
        <v>-0.32578620746067338</v>
      </c>
      <c r="O50" s="380">
        <f>VLOOKUP($I50, 'Commissioner Splits'!$A$4:$J$351, 6, FALSE)*E50</f>
        <v>-0.20551214234937634</v>
      </c>
      <c r="P50" s="380">
        <f>VLOOKUP($I50, 'Commissioner Splits'!$A$4:$J$351, 8, FALSE)*E50</f>
        <v>-1.1985529654447566E-3</v>
      </c>
      <c r="Q50" s="380">
        <f>VLOOKUP($I50, 'Commissioner Splits'!$A$4:$J$351,9, FALSE)*E50</f>
        <v>-2.0071612137627173E-2</v>
      </c>
      <c r="R50" s="452">
        <f t="shared" ref="R50" si="7">SUM(K50:Q50)</f>
        <v>-1.033964000000001</v>
      </c>
      <c r="T50" s="4"/>
      <c r="U50" s="4"/>
      <c r="V50" s="4"/>
      <c r="W50" s="4"/>
      <c r="X50" s="4"/>
      <c r="Y50" s="4"/>
      <c r="Z50" s="4"/>
      <c r="AA50" s="4"/>
      <c r="AB50" s="4"/>
    </row>
    <row r="51" spans="1:28" s="3" customFormat="1" ht="16.5" customHeight="1" x14ac:dyDescent="0.2">
      <c r="A51" s="767" t="s">
        <v>54</v>
      </c>
      <c r="B51" s="727" t="s">
        <v>218</v>
      </c>
      <c r="D51" s="465" t="s">
        <v>47</v>
      </c>
      <c r="E51" s="419">
        <v>0.327125</v>
      </c>
      <c r="F51" s="419">
        <v>0.327125</v>
      </c>
      <c r="G51" s="419">
        <v>0.327125</v>
      </c>
      <c r="H51" s="83"/>
      <c r="I51" s="464">
        <v>52</v>
      </c>
      <c r="J51" s="406" t="str">
        <f>CONCATENATE(VLOOKUP($I51, '[2]Commissioner Splits'!$A$4:$C$351, 2, FALSE), "     ", VLOOKUP($I51, '[2]Commissioner Splits'!$A$4:$C$351, 3, FALSE))</f>
        <v>Cardiff &amp; Vale     ISAT - Coils</v>
      </c>
      <c r="K51" s="452">
        <f>VLOOKUP($I51, 'Commissioner Splits'!$A$4:$J$351, 5, FALSE)*E51</f>
        <v>9.3518495000000007E-2</v>
      </c>
      <c r="L51" s="380">
        <f>VLOOKUP($I51, 'Commissioner Splits'!$A$4:$J$351, 7, FALSE)*E51</f>
        <v>7.9429221250000001E-2</v>
      </c>
      <c r="M51" s="380">
        <f>VLOOKUP($I51, 'Commissioner Splits'!$A$4:$J$351, 10, FALSE)*E51</f>
        <v>0</v>
      </c>
      <c r="N51" s="380">
        <f>VLOOKUP($I51, 'Commissioner Splits'!$A$4:$J$351, 4, FALSE)*E51</f>
        <v>5.7770275000000003E-2</v>
      </c>
      <c r="O51" s="380">
        <f>VLOOKUP($I51, 'Commissioner Splits'!$A$4:$J$351, 6, FALSE)*E51</f>
        <v>4.2454282500000003E-2</v>
      </c>
      <c r="P51" s="380">
        <f>VLOOKUP($I51, 'Commissioner Splits'!$A$4:$J$351, 8, FALSE)*E51</f>
        <v>5.3203610000000005E-2</v>
      </c>
      <c r="Q51" s="380">
        <f>VLOOKUP($I51, 'Commissioner Splits'!$A$4:$J$351,9, FALSE)*E51</f>
        <v>7.4911624999999995E-4</v>
      </c>
      <c r="R51" s="452">
        <f t="shared" ref="R51" si="8">SUM(K51:Q51)</f>
        <v>0.32712500000000005</v>
      </c>
    </row>
    <row r="52" spans="1:28" s="3" customFormat="1" ht="16.5" customHeight="1" x14ac:dyDescent="0.2">
      <c r="A52" s="767" t="s">
        <v>54</v>
      </c>
      <c r="B52" s="727" t="s">
        <v>231</v>
      </c>
      <c r="C52" s="23"/>
      <c r="D52" s="465" t="s">
        <v>47</v>
      </c>
      <c r="E52" s="419">
        <v>0.20453100000000002</v>
      </c>
      <c r="F52" s="419">
        <v>0.20453100000000002</v>
      </c>
      <c r="G52" s="419">
        <v>0.20453100000000002</v>
      </c>
      <c r="H52" s="83"/>
      <c r="I52" s="464">
        <v>66</v>
      </c>
      <c r="J52" s="406" t="str">
        <f>CONCATENATE(VLOOKUP($I52, '[2]Commissioner Splits'!$A$4:$C$351, 2, FALSE), "     ", VLOOKUP($I52, '[2]Commissioner Splits'!$A$4:$C$351, 3, FALSE))</f>
        <v>Cardiff &amp; Vale     Liver Cancer Development</v>
      </c>
      <c r="K52" s="452">
        <f>VLOOKUP($I52, 'Commissioner Splits'!$A$4:$J$351, 5, FALSE)*E52</f>
        <v>4.0235338320000008E-2</v>
      </c>
      <c r="L52" s="380">
        <f>VLOOKUP($I52, 'Commissioner Splits'!$A$4:$J$351, 7, FALSE)*E52</f>
        <v>4.1912492520000011E-2</v>
      </c>
      <c r="M52" s="380">
        <f>VLOOKUP($I52, 'Commissioner Splits'!$A$4:$J$351, 10, FALSE)*E52</f>
        <v>1.6771542000000006E-3</v>
      </c>
      <c r="N52" s="380">
        <f>VLOOKUP($I52, 'Commissioner Splits'!$A$4:$J$351, 4, FALSE)*E52</f>
        <v>3.6883075230000006E-2</v>
      </c>
      <c r="O52" s="380">
        <f>VLOOKUP($I52, 'Commissioner Splits'!$A$4:$J$351, 6, FALSE)*E52</f>
        <v>3.6883075230000006E-2</v>
      </c>
      <c r="P52" s="380">
        <f>VLOOKUP($I52, 'Commissioner Splits'!$A$4:$J$351, 8, FALSE)*E52</f>
        <v>3.8558184120000005E-2</v>
      </c>
      <c r="Q52" s="380">
        <f>VLOOKUP($I52, 'Commissioner Splits'!$A$4:$J$351,9, FALSE)*E52</f>
        <v>8.3816803800000027E-3</v>
      </c>
      <c r="R52" s="452">
        <f t="shared" ref="R52" si="9">SUM(K52:Q52)</f>
        <v>0.20453100000000005</v>
      </c>
    </row>
    <row r="53" spans="1:28" s="3" customFormat="1" ht="16.5" customHeight="1" x14ac:dyDescent="0.2">
      <c r="A53" s="767" t="s">
        <v>54</v>
      </c>
      <c r="B53" s="727" t="s">
        <v>223</v>
      </c>
      <c r="C53" s="28"/>
      <c r="D53" s="465" t="s">
        <v>47</v>
      </c>
      <c r="E53" s="419">
        <v>-7.9901E-2</v>
      </c>
      <c r="F53" s="419">
        <v>-7.9901E-2</v>
      </c>
      <c r="G53" s="419">
        <v>-7.9901E-2</v>
      </c>
      <c r="H53" s="83"/>
      <c r="I53" s="464">
        <v>58</v>
      </c>
      <c r="J53" s="406" t="str">
        <f>CONCATENATE(VLOOKUP($I53, '[2]Commissioner Splits'!$A$4:$C$351, 2, FALSE), "     ", VLOOKUP($I53, '[2]Commissioner Splits'!$A$4:$C$351, 3, FALSE))</f>
        <v>Cardiff &amp; Vale     Lymphoma Panel</v>
      </c>
      <c r="K53" s="452">
        <f>VLOOKUP($I53, 'Commissioner Splits'!$A$4:$J$351, 5, FALSE)*E53</f>
        <v>-1.3508395565281894E-2</v>
      </c>
      <c r="L53" s="380">
        <f>VLOOKUP($I53, 'Commissioner Splits'!$A$4:$J$351, 7, FALSE)*E53</f>
        <v>-1.5000036465352187E-2</v>
      </c>
      <c r="M53" s="380">
        <f>VLOOKUP($I53, 'Commissioner Splits'!$A$4:$J$351, 10, FALSE)*E53</f>
        <v>-1.793204020043419E-2</v>
      </c>
      <c r="N53" s="380">
        <f>VLOOKUP($I53, 'Commissioner Splits'!$A$4:$J$351, 4, FALSE)*E53</f>
        <v>-1.2446037145311228E-2</v>
      </c>
      <c r="O53" s="380">
        <f>VLOOKUP($I53, 'Commissioner Splits'!$A$4:$J$351, 6, FALSE)*E53</f>
        <v>-7.6091425062753005E-3</v>
      </c>
      <c r="P53" s="380">
        <f>VLOOKUP($I53, 'Commissioner Splits'!$A$4:$J$351, 8, FALSE)*E53</f>
        <v>-9.9482290685240764E-3</v>
      </c>
      <c r="Q53" s="380">
        <f>VLOOKUP($I53, 'Commissioner Splits'!$A$4:$J$351,9, FALSE)*E53</f>
        <v>-3.4571190488211236E-3</v>
      </c>
      <c r="R53" s="452">
        <f t="shared" ref="R53" si="10">SUM(K53:Q53)</f>
        <v>-7.9901E-2</v>
      </c>
    </row>
    <row r="54" spans="1:28" s="3" customFormat="1" ht="16.5" customHeight="1" x14ac:dyDescent="0.2">
      <c r="A54" s="767" t="s">
        <v>54</v>
      </c>
      <c r="B54" s="727" t="s">
        <v>64</v>
      </c>
      <c r="C54" s="28"/>
      <c r="D54" s="465" t="s">
        <v>47</v>
      </c>
      <c r="E54" s="419">
        <v>3.2502666666666485E-2</v>
      </c>
      <c r="F54" s="419">
        <v>3.2502666666666485E-2</v>
      </c>
      <c r="G54" s="419">
        <v>3.2502666666666485E-2</v>
      </c>
      <c r="H54" s="83"/>
      <c r="I54" s="464">
        <v>17</v>
      </c>
      <c r="J54" s="406" t="str">
        <f>CONCATENATE(VLOOKUP($I54, '[2]Commissioner Splits'!$A$4:$C$351, 2, FALSE), "     ", VLOOKUP($I54, '[2]Commissioner Splits'!$A$4:$C$351, 3, FALSE))</f>
        <v>Cardiff &amp; Vale     Nephrology</v>
      </c>
      <c r="K54" s="452">
        <f>VLOOKUP($I54, 'Commissioner Splits'!$A$4:$J$351, 5, FALSE)*E54</f>
        <v>1.3579674935696078E-3</v>
      </c>
      <c r="L54" s="380">
        <f>VLOOKUP($I54, 'Commissioner Splits'!$A$4:$J$351, 7, FALSE)*E54</f>
        <v>1.0765572670599632E-2</v>
      </c>
      <c r="M54" s="380">
        <f>VLOOKUP($I54, 'Commissioner Splits'!$A$4:$J$351, 10, FALSE)*E54</f>
        <v>2.8591802129306731E-6</v>
      </c>
      <c r="N54" s="380">
        <f>VLOOKUP($I54, 'Commissioner Splits'!$A$4:$J$351, 4, FALSE)*E54</f>
        <v>1.4630623309517771E-2</v>
      </c>
      <c r="O54" s="380">
        <f>VLOOKUP($I54, 'Commissioner Splits'!$A$4:$J$351, 6, FALSE)*E54</f>
        <v>5.0650244524292299E-3</v>
      </c>
      <c r="P54" s="380">
        <f>VLOOKUP($I54, 'Commissioner Splits'!$A$4:$J$351, 8, FALSE)*E54</f>
        <v>3.9613646146446414E-4</v>
      </c>
      <c r="Q54" s="380">
        <f>VLOOKUP($I54, 'Commissioner Splits'!$A$4:$J$351,9, FALSE)*E54</f>
        <v>2.84483098872845E-4</v>
      </c>
      <c r="R54" s="452">
        <f t="shared" ref="R54" si="11">SUM(K54:Q54)</f>
        <v>3.2502666666666472E-2</v>
      </c>
    </row>
    <row r="55" spans="1:28" s="3" customFormat="1" ht="16.5" customHeight="1" x14ac:dyDescent="0.2">
      <c r="A55" s="767" t="s">
        <v>54</v>
      </c>
      <c r="B55" s="727" t="s">
        <v>219</v>
      </c>
      <c r="D55" s="465" t="s">
        <v>50</v>
      </c>
      <c r="E55" s="419">
        <v>7.6971999999999999E-2</v>
      </c>
      <c r="F55" s="419">
        <v>7.6971999999999999E-2</v>
      </c>
      <c r="G55" s="419">
        <v>7.6971999999999999E-2</v>
      </c>
      <c r="H55" s="83"/>
      <c r="I55" s="464">
        <v>53</v>
      </c>
      <c r="J55" s="406" t="str">
        <f>CONCATENATE(VLOOKUP($I55, '[2]Commissioner Splits'!$A$4:$C$351, 2, FALSE), "     ", VLOOKUP($I55, '[2]Commissioner Splits'!$A$4:$C$351, 3, FALSE))</f>
        <v>Cardiff &amp; Vale     Neuro Rehab</v>
      </c>
      <c r="K55" s="452">
        <f>VLOOKUP($I55, 'Commissioner Splits'!$A$4:$J$351, 5, FALSE)*E55</f>
        <v>1.2295233289511765E-4</v>
      </c>
      <c r="L55" s="380">
        <f>VLOOKUP($I55, 'Commissioner Splits'!$A$4:$J$351, 7, FALSE)*E55</f>
        <v>2.3311904350213495E-2</v>
      </c>
      <c r="M55" s="380">
        <f>VLOOKUP($I55, 'Commissioner Splits'!$A$4:$J$351, 10, FALSE)*E55</f>
        <v>0</v>
      </c>
      <c r="N55" s="380">
        <f>VLOOKUP($I55, 'Commissioner Splits'!$A$4:$J$351, 4, FALSE)*E55</f>
        <v>4.1425367752858634E-2</v>
      </c>
      <c r="O55" s="380">
        <f>VLOOKUP($I55, 'Commissioner Splits'!$A$4:$J$351, 6, FALSE)*E55</f>
        <v>9.4792310968246484E-3</v>
      </c>
      <c r="P55" s="380">
        <f>VLOOKUP($I55, 'Commissioner Splits'!$A$4:$J$351, 8, FALSE)*E55</f>
        <v>2.6137973911722436E-3</v>
      </c>
      <c r="Q55" s="380">
        <f>VLOOKUP($I55, 'Commissioner Splits'!$A$4:$J$351,9, FALSE)*E55</f>
        <v>1.8747076035852065E-5</v>
      </c>
      <c r="R55" s="452">
        <f t="shared" ref="R55" si="12">SUM(K55:Q55)</f>
        <v>7.6971999999999999E-2</v>
      </c>
      <c r="T55" s="4"/>
      <c r="U55" s="4"/>
      <c r="V55" s="4"/>
      <c r="W55" s="4"/>
      <c r="X55" s="4"/>
      <c r="Y55" s="4"/>
      <c r="Z55" s="4"/>
      <c r="AA55" s="4"/>
      <c r="AB55" s="4"/>
    </row>
    <row r="56" spans="1:28" s="3" customFormat="1" ht="16.5" customHeight="1" x14ac:dyDescent="0.2">
      <c r="A56" s="768" t="s">
        <v>54</v>
      </c>
      <c r="B56" s="729" t="s">
        <v>122</v>
      </c>
      <c r="C56" s="423"/>
      <c r="D56" s="467" t="s">
        <v>50</v>
      </c>
      <c r="E56" s="419">
        <v>0.04</v>
      </c>
      <c r="F56" s="419">
        <v>0.04</v>
      </c>
      <c r="G56" s="419">
        <v>0.04</v>
      </c>
      <c r="H56" s="83"/>
      <c r="I56" s="464">
        <v>279</v>
      </c>
      <c r="J56" s="406" t="str">
        <f>CONCATENATE(VLOOKUP($I56, '[2]Commissioner Splits'!$A$4:$C$351, 2, FALSE), "     ", VLOOKUP($I56, '[2]Commissioner Splits'!$A$4:$C$351, 3, FALSE))</f>
        <v xml:space="preserve">16/17 Developments     Neuroendocrine Tumours (NETs) 
 </v>
      </c>
      <c r="K56" s="452">
        <f>VLOOKUP($I56, 'Commissioner Splits'!$A$4:$J$351, 5, FALSE)*E56</f>
        <v>8.973686364539931E-3</v>
      </c>
      <c r="L56" s="380">
        <f>VLOOKUP($I56, 'Commissioner Splits'!$A$4:$J$351, 7, FALSE)*E56</f>
        <v>9.9912733956365237E-3</v>
      </c>
      <c r="M56" s="380">
        <f>VLOOKUP($I56, 'Commissioner Splits'!$A$4:$J$351, 10, FALSE)*E56</f>
        <v>0</v>
      </c>
      <c r="N56" s="380">
        <f>VLOOKUP($I56, 'Commissioner Splits'!$A$4:$J$351, 4, FALSE)*E56</f>
        <v>8.1839698124451347E-3</v>
      </c>
      <c r="O56" s="380">
        <f>VLOOKUP($I56, 'Commissioner Splits'!$A$4:$J$351, 6, FALSE)*E56</f>
        <v>5.0793947764235306E-3</v>
      </c>
      <c r="P56" s="380">
        <f>VLOOKUP($I56, 'Commissioner Splits'!$A$4:$J$351, 8, FALSE)*E56</f>
        <v>6.6198851379648009E-3</v>
      </c>
      <c r="Q56" s="380">
        <f>VLOOKUP($I56, 'Commissioner Splits'!$A$4:$J$351,9, FALSE)*E56</f>
        <v>1.1517905129900812E-3</v>
      </c>
      <c r="R56" s="452">
        <f t="shared" ref="R56" si="13">SUM(K56:Q56)</f>
        <v>3.9999999999999994E-2</v>
      </c>
    </row>
    <row r="57" spans="1:28" s="3" customFormat="1" ht="16.5" customHeight="1" x14ac:dyDescent="0.2">
      <c r="A57" s="767" t="s">
        <v>54</v>
      </c>
      <c r="B57" s="727" t="s">
        <v>157</v>
      </c>
      <c r="D57" s="465" t="s">
        <v>50</v>
      </c>
      <c r="E57" s="419">
        <v>-0.226079</v>
      </c>
      <c r="F57" s="419">
        <v>-0.226079</v>
      </c>
      <c r="G57" s="419">
        <v>-0.226079</v>
      </c>
      <c r="H57" s="83"/>
      <c r="I57" s="464">
        <v>25</v>
      </c>
      <c r="J57" s="406" t="str">
        <f>CONCATENATE(VLOOKUP($I57, '[2]Commissioner Splits'!$A$4:$C$351, 2, FALSE), "     ", VLOOKUP($I57, '[2]Commissioner Splits'!$A$4:$C$351, 3, FALSE))</f>
        <v>Cardiff &amp; Vale     Neurology</v>
      </c>
      <c r="K57" s="452">
        <f>VLOOKUP($I57, 'Commissioner Splits'!$A$4:$J$351, 5, FALSE)*E57</f>
        <v>-4.7906566763771773E-3</v>
      </c>
      <c r="L57" s="380">
        <f>VLOOKUP($I57, 'Commissioner Splits'!$A$4:$J$351, 7, FALSE)*E57</f>
        <v>-5.8459845394123661E-2</v>
      </c>
      <c r="M57" s="380">
        <f>VLOOKUP($I57, 'Commissioner Splits'!$A$4:$J$351, 10, FALSE)*E57</f>
        <v>-1.2391303772515819E-5</v>
      </c>
      <c r="N57" s="380">
        <f>VLOOKUP($I57, 'Commissioner Splits'!$A$4:$J$351, 4, FALSE)*E57</f>
        <v>-0.10118602183533493</v>
      </c>
      <c r="O57" s="380">
        <f>VLOOKUP($I57, 'Commissioner Splits'!$A$4:$J$351, 6, FALSE)*E57</f>
        <v>-5.6945742828969879E-2</v>
      </c>
      <c r="P57" s="380">
        <f>VLOOKUP($I57, 'Commissioner Splits'!$A$4:$J$351, 8, FALSE)*E57</f>
        <v>-2.1729132555185883E-3</v>
      </c>
      <c r="Q57" s="380">
        <f>VLOOKUP($I57, 'Commissioner Splits'!$A$4:$J$351,9, FALSE)*E57</f>
        <v>-2.5114287059032504E-3</v>
      </c>
      <c r="R57" s="452">
        <f t="shared" ref="R57" si="14">SUM(K57:Q57)</f>
        <v>-0.22607900000000003</v>
      </c>
      <c r="T57" s="4"/>
      <c r="U57" s="4"/>
      <c r="V57" s="4"/>
      <c r="W57" s="4"/>
      <c r="X57" s="4"/>
      <c r="Y57" s="4"/>
      <c r="Z57" s="4"/>
      <c r="AA57" s="4"/>
      <c r="AB57" s="4"/>
    </row>
    <row r="58" spans="1:28" s="3" customFormat="1" ht="16.5" customHeight="1" x14ac:dyDescent="0.2">
      <c r="A58" s="767" t="s">
        <v>54</v>
      </c>
      <c r="B58" s="727" t="s">
        <v>66</v>
      </c>
      <c r="D58" s="465" t="s">
        <v>40</v>
      </c>
      <c r="E58" s="419">
        <v>-6.1894000000000005E-2</v>
      </c>
      <c r="F58" s="419">
        <v>-6.1894000000000005E-2</v>
      </c>
      <c r="G58" s="419">
        <v>-6.1894000000000005E-2</v>
      </c>
      <c r="H58" s="83"/>
      <c r="I58" s="464">
        <v>24</v>
      </c>
      <c r="J58" s="406" t="str">
        <f>CONCATENATE(VLOOKUP($I58, '[2]Commissioner Splits'!$A$4:$C$351, 2, FALSE), "     ", VLOOKUP($I58, '[2]Commissioner Splits'!$A$4:$C$351, 3, FALSE))</f>
        <v>Cardiff &amp; Vale     Neurosurgery</v>
      </c>
      <c r="K58" s="452">
        <f>VLOOKUP($I58, 'Commissioner Splits'!$A$4:$J$351, 5, FALSE)*E58</f>
        <v>-1.4185739039030925E-2</v>
      </c>
      <c r="L58" s="380">
        <f>VLOOKUP($I58, 'Commissioner Splits'!$A$4:$J$351, 7, FALSE)*E58</f>
        <v>-1.5050190039706804E-2</v>
      </c>
      <c r="M58" s="380">
        <f>VLOOKUP($I58, 'Commissioner Splits'!$A$4:$J$351, 10, FALSE)*E58</f>
        <v>-6.3238518059848391E-5</v>
      </c>
      <c r="N58" s="380">
        <f>VLOOKUP($I58, 'Commissioner Splits'!$A$4:$J$351, 4, FALSE)*E58</f>
        <v>-1.478715397090404E-2</v>
      </c>
      <c r="O58" s="380">
        <f>VLOOKUP($I58, 'Commissioner Splits'!$A$4:$J$351, 6, FALSE)*E58</f>
        <v>-9.4685370982314134E-3</v>
      </c>
      <c r="P58" s="380">
        <f>VLOOKUP($I58, 'Commissioner Splits'!$A$4:$J$351, 8, FALSE)*E58</f>
        <v>-7.432658903301281E-3</v>
      </c>
      <c r="Q58" s="380">
        <f>VLOOKUP($I58, 'Commissioner Splits'!$A$4:$J$351,9, FALSE)*E58</f>
        <v>-9.0648243076568485E-4</v>
      </c>
      <c r="R58" s="452">
        <f t="shared" ref="R58" si="15">SUM(K58:Q58)</f>
        <v>-6.1894000000000005E-2</v>
      </c>
    </row>
    <row r="59" spans="1:28" s="3" customFormat="1" ht="16.5" customHeight="1" x14ac:dyDescent="0.2">
      <c r="A59" s="767" t="s">
        <v>54</v>
      </c>
      <c r="B59" s="727" t="s">
        <v>213</v>
      </c>
      <c r="D59" s="465" t="s">
        <v>40</v>
      </c>
      <c r="E59" s="419">
        <v>-0.16020099999999998</v>
      </c>
      <c r="F59" s="419">
        <v>-0.16020099999999998</v>
      </c>
      <c r="G59" s="419">
        <v>-0.16020099999999998</v>
      </c>
      <c r="H59" s="83"/>
      <c r="I59" s="464">
        <v>39</v>
      </c>
      <c r="J59" s="406" t="str">
        <f>CONCATENATE(VLOOKUP($I59, '[2]Commissioner Splits'!$A$4:$C$351, 2, FALSE), "     ", VLOOKUP($I59, '[2]Commissioner Splits'!$A$4:$C$351, 3, FALSE))</f>
        <v>Cardiff &amp; Vale     NICE / High Cost Drugs</v>
      </c>
      <c r="K59" s="452">
        <f>VLOOKUP($I59, 'Commissioner Splits'!$A$4:$J$351, 5, FALSE)*E59</f>
        <v>-1.1321532849894219E-3</v>
      </c>
      <c r="L59" s="380">
        <f>VLOOKUP($I59, 'Commissioner Splits'!$A$4:$J$351, 7, FALSE)*E59</f>
        <v>-9.2153156085034188E-2</v>
      </c>
      <c r="M59" s="380">
        <f>VLOOKUP($I59, 'Commissioner Splits'!$A$4:$J$351, 10, FALSE)*E59</f>
        <v>0</v>
      </c>
      <c r="N59" s="380">
        <f>VLOOKUP($I59, 'Commissioner Splits'!$A$4:$J$351, 4, FALSE)*E59</f>
        <v>-5.7053299065745744E-2</v>
      </c>
      <c r="O59" s="380">
        <f>VLOOKUP($I59, 'Commissioner Splits'!$A$4:$J$351, 6, FALSE)*E59</f>
        <v>-4.466199452322228E-3</v>
      </c>
      <c r="P59" s="380">
        <f>VLOOKUP($I59, 'Commissioner Splits'!$A$4:$J$351, 8, FALSE)*E59</f>
        <v>-5.3204175496434185E-3</v>
      </c>
      <c r="Q59" s="380">
        <f>VLOOKUP($I59, 'Commissioner Splits'!$A$4:$J$351,9, FALSE)*E59</f>
        <v>-7.5774562264992618E-5</v>
      </c>
      <c r="R59" s="452">
        <f t="shared" ref="R59" si="16">SUM(K59:Q59)</f>
        <v>-0.16020099999999998</v>
      </c>
    </row>
    <row r="60" spans="1:28" s="3" customFormat="1" ht="16.5" customHeight="1" x14ac:dyDescent="0.2">
      <c r="A60" s="767" t="s">
        <v>54</v>
      </c>
      <c r="B60" s="727" t="s">
        <v>203</v>
      </c>
      <c r="D60" s="465"/>
      <c r="E60" s="419">
        <v>0.61567240333333306</v>
      </c>
      <c r="F60" s="419">
        <v>0.61567240333333306</v>
      </c>
      <c r="G60" s="419">
        <v>0.61567240333333306</v>
      </c>
      <c r="H60" s="83"/>
      <c r="I60" s="464">
        <v>26</v>
      </c>
      <c r="J60" s="406" t="str">
        <f>CONCATENATE(VLOOKUP($I60, '[2]Commissioner Splits'!$A$4:$C$351, 2, FALSE), "     ", VLOOKUP($I60, '[2]Commissioner Splits'!$A$4:$C$351, 3, FALSE))</f>
        <v>Cardiff &amp; Vale     NICU BH</v>
      </c>
      <c r="K60" s="452">
        <f>VLOOKUP($I60, 'Commissioner Splits'!$A$4:$J$351, 5, FALSE)*E60</f>
        <v>4.5690379135995017E-2</v>
      </c>
      <c r="L60" s="380">
        <f>VLOOKUP($I60, 'Commissioner Splits'!$A$4:$J$351, 7, FALSE)*E60</f>
        <v>8.926806688719334E-2</v>
      </c>
      <c r="M60" s="380">
        <f>VLOOKUP($I60, 'Commissioner Splits'!$A$4:$J$351, 10, FALSE)*E60</f>
        <v>0</v>
      </c>
      <c r="N60" s="380">
        <f>VLOOKUP($I60, 'Commissioner Splits'!$A$4:$J$351, 4, FALSE)*E60</f>
        <v>0.37796195025301466</v>
      </c>
      <c r="O60" s="380">
        <f>VLOOKUP($I60, 'Commissioner Splits'!$A$4:$J$351, 6, FALSE)*E60</f>
        <v>6.3597736063906646E-2</v>
      </c>
      <c r="P60" s="380">
        <f>VLOOKUP($I60, 'Commissioner Splits'!$A$4:$J$351, 8, FALSE)*E60</f>
        <v>3.4762087798071967E-2</v>
      </c>
      <c r="Q60" s="380">
        <f>VLOOKUP($I60, 'Commissioner Splits'!$A$4:$J$351,9, FALSE)*E60</f>
        <v>4.3921831951514567E-3</v>
      </c>
      <c r="R60" s="452">
        <f t="shared" ref="R60" si="17">SUM(K60:Q60)</f>
        <v>0.61567240333333306</v>
      </c>
    </row>
    <row r="61" spans="1:28" s="3" customFormat="1" ht="16.5" customHeight="1" x14ac:dyDescent="0.2">
      <c r="A61" s="767" t="s">
        <v>54</v>
      </c>
      <c r="B61" s="727" t="s">
        <v>67</v>
      </c>
      <c r="D61" s="465" t="s">
        <v>43</v>
      </c>
      <c r="E61" s="419">
        <v>-1.0225E-2</v>
      </c>
      <c r="F61" s="419">
        <v>-1.0225E-2</v>
      </c>
      <c r="G61" s="419">
        <v>-1.0225E-2</v>
      </c>
      <c r="H61" s="83"/>
      <c r="I61" s="464">
        <v>49</v>
      </c>
      <c r="J61" s="406" t="str">
        <f>CONCATENATE(VLOOKUP($I61, '[2]Commissioner Splits'!$A$4:$C$351, 2, FALSE), "     ", VLOOKUP($I61, '[2]Commissioner Splits'!$A$4:$C$351, 3, FALSE))</f>
        <v>Cardiff &amp; Vale     Paediatric Cardiology</v>
      </c>
      <c r="K61" s="452">
        <f>VLOOKUP($I61, 'Commissioner Splits'!$A$4:$J$351, 5, FALSE)*E61</f>
        <v>-4.8491206141181264E-4</v>
      </c>
      <c r="L61" s="380">
        <f>VLOOKUP($I61, 'Commissioner Splits'!$A$4:$J$351, 7, FALSE)*E61</f>
        <v>-2.0967056454166697E-3</v>
      </c>
      <c r="M61" s="380">
        <f>VLOOKUP($I61, 'Commissioner Splits'!$A$4:$J$351, 10, FALSE)*E61</f>
        <v>-3.225928660281174E-6</v>
      </c>
      <c r="N61" s="380">
        <f>VLOOKUP($I61, 'Commissioner Splits'!$A$4:$J$351, 4, FALSE)*E61</f>
        <v>-6.1814910141867532E-3</v>
      </c>
      <c r="O61" s="380">
        <f>VLOOKUP($I61, 'Commissioner Splits'!$A$4:$J$351, 6, FALSE)*E61</f>
        <v>-9.9507204968001645E-4</v>
      </c>
      <c r="P61" s="380">
        <f>VLOOKUP($I61, 'Commissioner Splits'!$A$4:$J$351, 8, FALSE)*E61</f>
        <v>-3.7934031031726763E-4</v>
      </c>
      <c r="Q61" s="380">
        <f>VLOOKUP($I61, 'Commissioner Splits'!$A$4:$J$351,9, FALSE)*E61</f>
        <v>-8.4252990327197559E-5</v>
      </c>
      <c r="R61" s="452">
        <f t="shared" ref="R61" si="18">SUM(K61:Q61)</f>
        <v>-1.0224999999999998E-2</v>
      </c>
      <c r="T61" s="4"/>
      <c r="U61" s="4"/>
      <c r="V61" s="4"/>
      <c r="W61" s="4"/>
      <c r="X61" s="4"/>
      <c r="Y61" s="4"/>
      <c r="Z61" s="4"/>
      <c r="AA61" s="4"/>
      <c r="AB61" s="4"/>
    </row>
    <row r="62" spans="1:28" s="3" customFormat="1" ht="16.5" customHeight="1" x14ac:dyDescent="0.2">
      <c r="A62" s="767" t="s">
        <v>54</v>
      </c>
      <c r="B62" s="727" t="s">
        <v>68</v>
      </c>
      <c r="D62" s="465"/>
      <c r="E62" s="419">
        <v>3.1833E-2</v>
      </c>
      <c r="F62" s="419">
        <v>3.1833E-2</v>
      </c>
      <c r="G62" s="419">
        <v>3.1833E-2</v>
      </c>
      <c r="H62" s="83"/>
      <c r="I62" s="464">
        <v>48</v>
      </c>
      <c r="J62" s="414" t="str">
        <f>CONCATENATE(VLOOKUP($I62, '[2]Commissioner Splits'!$A$4:$C$351, 2, FALSE), "     ", VLOOKUP($I62, '[2]Commissioner Splits'!$A$4:$C$351, 3, FALSE))</f>
        <v>Cardiff &amp; Vale     Paediatric ENT</v>
      </c>
      <c r="K62" s="452">
        <f>VLOOKUP($I62, 'Commissioner Splits'!$A$4:$J$351, 5, FALSE)*E62</f>
        <v>1.1243964901378183E-3</v>
      </c>
      <c r="L62" s="380">
        <f>VLOOKUP($I62, 'Commissioner Splits'!$A$4:$J$351, 7, FALSE)*E62</f>
        <v>3.658208846985461E-3</v>
      </c>
      <c r="M62" s="380">
        <f>VLOOKUP($I62, 'Commissioner Splits'!$A$4:$J$351, 10, FALSE)*E62</f>
        <v>0</v>
      </c>
      <c r="N62" s="380">
        <f>VLOOKUP($I62, 'Commissioner Splits'!$A$4:$J$351, 4, FALSE)*E62</f>
        <v>2.4275783561927344E-2</v>
      </c>
      <c r="O62" s="380">
        <f>VLOOKUP($I62, 'Commissioner Splits'!$A$4:$J$351, 6, FALSE)*E62</f>
        <v>1.0701701861874455E-3</v>
      </c>
      <c r="P62" s="380">
        <f>VLOOKUP($I62, 'Commissioner Splits'!$A$4:$J$351, 8, FALSE)*E62</f>
        <v>8.2964832628559153E-4</v>
      </c>
      <c r="Q62" s="380">
        <f>VLOOKUP($I62, 'Commissioner Splits'!$A$4:$J$351,9, FALSE)*E62</f>
        <v>8.747925884763564E-4</v>
      </c>
      <c r="R62" s="452">
        <f t="shared" ref="R62" si="19">SUM(K62:Q62)</f>
        <v>3.1833000000000014E-2</v>
      </c>
    </row>
    <row r="63" spans="1:28" s="3" customFormat="1" ht="16.5" customHeight="1" x14ac:dyDescent="0.2">
      <c r="A63" s="767" t="s">
        <v>54</v>
      </c>
      <c r="B63" s="727" t="s">
        <v>69</v>
      </c>
      <c r="D63" s="465"/>
      <c r="E63" s="419">
        <v>4.0483999999999999E-2</v>
      </c>
      <c r="F63" s="419">
        <v>4.0483999999999999E-2</v>
      </c>
      <c r="G63" s="419">
        <v>4.0483999999999999E-2</v>
      </c>
      <c r="H63" s="83"/>
      <c r="I63" s="464">
        <v>47</v>
      </c>
      <c r="J63" s="414" t="str">
        <f>CONCATENATE(VLOOKUP($I63, '[2]Commissioner Splits'!$A$4:$C$351, 2, FALSE), "     ", VLOOKUP($I63, '[2]Commissioner Splits'!$A$4:$C$351, 3, FALSE))</f>
        <v>Cardiff &amp; Vale     Paediatric Gastroenterology</v>
      </c>
      <c r="K63" s="452">
        <f>VLOOKUP($I63, 'Commissioner Splits'!$A$4:$J$351, 5, FALSE)*E63</f>
        <v>1.6325449935187387E-3</v>
      </c>
      <c r="L63" s="380">
        <f>VLOOKUP($I63, 'Commissioner Splits'!$A$4:$J$351, 7, FALSE)*E63</f>
        <v>9.9106517641301805E-3</v>
      </c>
      <c r="M63" s="380">
        <f>VLOOKUP($I63, 'Commissioner Splits'!$A$4:$J$351, 10, FALSE)*E63</f>
        <v>0</v>
      </c>
      <c r="N63" s="380">
        <f>VLOOKUP($I63, 'Commissioner Splits'!$A$4:$J$351, 4, FALSE)*E63</f>
        <v>2.340652324278698E-2</v>
      </c>
      <c r="O63" s="380">
        <f>VLOOKUP($I63, 'Commissioner Splits'!$A$4:$J$351, 6, FALSE)*E63</f>
        <v>4.1526470852006891E-3</v>
      </c>
      <c r="P63" s="380">
        <f>VLOOKUP($I63, 'Commissioner Splits'!$A$4:$J$351, 8, FALSE)*E63</f>
        <v>1.0210992821553864E-3</v>
      </c>
      <c r="Q63" s="380">
        <f>VLOOKUP($I63, 'Commissioner Splits'!$A$4:$J$351,9, FALSE)*E63</f>
        <v>3.6053363220802715E-4</v>
      </c>
      <c r="R63" s="452">
        <f t="shared" ref="R63" si="20">SUM(K63:Q63)</f>
        <v>4.0483999999999999E-2</v>
      </c>
    </row>
    <row r="64" spans="1:28" s="3" customFormat="1" ht="16.5" customHeight="1" x14ac:dyDescent="0.2">
      <c r="A64" s="767" t="s">
        <v>54</v>
      </c>
      <c r="B64" s="727" t="s">
        <v>70</v>
      </c>
      <c r="D64" s="465" t="s">
        <v>81</v>
      </c>
      <c r="E64" s="419">
        <v>0.12969800000000001</v>
      </c>
      <c r="F64" s="419">
        <v>0.12969800000000001</v>
      </c>
      <c r="G64" s="419">
        <v>0.12969800000000001</v>
      </c>
      <c r="H64" s="83"/>
      <c r="I64" s="464">
        <v>46</v>
      </c>
      <c r="J64" s="406" t="str">
        <f>CONCATENATE(VLOOKUP($I64, '[2]Commissioner Splits'!$A$4:$C$351, 2, FALSE), "     ", VLOOKUP($I64, '[2]Commissioner Splits'!$A$4:$C$351, 3, FALSE))</f>
        <v>Cardiff &amp; Vale     Paediatric Neurology</v>
      </c>
      <c r="K64" s="452">
        <f>VLOOKUP($I64, 'Commissioner Splits'!$A$4:$J$351, 5, FALSE)*E64</f>
        <v>7.2292360765143756E-3</v>
      </c>
      <c r="L64" s="380">
        <f>VLOOKUP($I64, 'Commissioner Splits'!$A$4:$J$351, 7, FALSE)*E64</f>
        <v>2.4369872191252005E-2</v>
      </c>
      <c r="M64" s="380">
        <f>VLOOKUP($I64, 'Commissioner Splits'!$A$4:$J$351, 10, FALSE)*E64</f>
        <v>3.1495089569316041E-4</v>
      </c>
      <c r="N64" s="380">
        <f>VLOOKUP($I64, 'Commissioner Splits'!$A$4:$J$351, 4, FALSE)*E64</f>
        <v>7.6466301660104721E-2</v>
      </c>
      <c r="O64" s="380">
        <f>VLOOKUP($I64, 'Commissioner Splits'!$A$4:$J$351, 6, FALSE)*E64</f>
        <v>1.6732098269349755E-2</v>
      </c>
      <c r="P64" s="380">
        <f>VLOOKUP($I64, 'Commissioner Splits'!$A$4:$J$351, 8, FALSE)*E64</f>
        <v>3.8279252941317474E-3</v>
      </c>
      <c r="Q64" s="380">
        <f>VLOOKUP($I64, 'Commissioner Splits'!$A$4:$J$351,9, FALSE)*E64</f>
        <v>7.576156129542491E-4</v>
      </c>
      <c r="R64" s="452">
        <f t="shared" ref="R64" si="21">SUM(K64:Q64)</f>
        <v>0.12969800000000004</v>
      </c>
      <c r="T64" s="4"/>
      <c r="U64" s="4"/>
      <c r="V64" s="4"/>
      <c r="W64" s="4"/>
      <c r="X64" s="4"/>
      <c r="Y64" s="4"/>
      <c r="Z64" s="4"/>
      <c r="AA64" s="4"/>
      <c r="AB64" s="4"/>
    </row>
    <row r="65" spans="1:28" s="3" customFormat="1" ht="16.5" customHeight="1" x14ac:dyDescent="0.2">
      <c r="A65" s="768" t="s">
        <v>54</v>
      </c>
      <c r="B65" s="728" t="s">
        <v>71</v>
      </c>
      <c r="D65" s="465" t="s">
        <v>24</v>
      </c>
      <c r="E65" s="419">
        <v>-0.2</v>
      </c>
      <c r="F65" s="419">
        <v>-0.2</v>
      </c>
      <c r="G65" s="419">
        <v>-0.2</v>
      </c>
      <c r="H65" s="83"/>
      <c r="I65" s="464">
        <v>45</v>
      </c>
      <c r="J65" s="406" t="str">
        <f>CONCATENATE(VLOOKUP($I65, '[2]Commissioner Splits'!$A$4:$C$351, 2, FALSE), "     ", VLOOKUP($I65, '[2]Commissioner Splits'!$A$4:$C$351, 3, FALSE))</f>
        <v>Cardiff &amp; Vale     Paediatric Oncology</v>
      </c>
      <c r="K65" s="452">
        <f>VLOOKUP($I65, 'Commissioner Splits'!$A$4:$J$351, 5, FALSE)*E65</f>
        <v>-4.2533743329384997E-2</v>
      </c>
      <c r="L65" s="380">
        <f>VLOOKUP($I65, 'Commissioner Splits'!$A$4:$J$351, 7, FALSE)*E65</f>
        <v>-5.5705234489761196E-2</v>
      </c>
      <c r="M65" s="380">
        <f>VLOOKUP($I65, 'Commissioner Splits'!$A$4:$J$351, 10, FALSE)*E65</f>
        <v>-1.5990039707653297E-5</v>
      </c>
      <c r="N65" s="380">
        <f>VLOOKUP($I65, 'Commissioner Splits'!$A$4:$J$351, 4, FALSE)*E65</f>
        <v>-6.2191561019677148E-2</v>
      </c>
      <c r="O65" s="380">
        <f>VLOOKUP($I65, 'Commissioner Splits'!$A$4:$J$351, 6, FALSE)*E65</f>
        <v>-2.4090265660621939E-2</v>
      </c>
      <c r="P65" s="380">
        <f>VLOOKUP($I65, 'Commissioner Splits'!$A$4:$J$351, 8, FALSE)*E65</f>
        <v>-1.1990142175053141E-2</v>
      </c>
      <c r="Q65" s="380">
        <f>VLOOKUP($I65, 'Commissioner Splits'!$A$4:$J$351,9, FALSE)*E65</f>
        <v>-3.4730632857939525E-3</v>
      </c>
      <c r="R65" s="452">
        <f t="shared" ref="R65" si="22">SUM(K65:Q65)</f>
        <v>-0.20000000000000004</v>
      </c>
      <c r="T65" s="4"/>
      <c r="U65" s="4"/>
      <c r="V65" s="4"/>
      <c r="W65" s="4"/>
      <c r="X65" s="4"/>
      <c r="Y65" s="4"/>
      <c r="Z65" s="4"/>
      <c r="AA65" s="4"/>
      <c r="AB65" s="4"/>
    </row>
    <row r="66" spans="1:28" s="3" customFormat="1" ht="16.5" customHeight="1" x14ac:dyDescent="0.2">
      <c r="A66" s="767" t="s">
        <v>54</v>
      </c>
      <c r="B66" s="727" t="s">
        <v>72</v>
      </c>
      <c r="D66" s="465" t="s">
        <v>24</v>
      </c>
      <c r="E66" s="419">
        <v>2.6905000000000002E-2</v>
      </c>
      <c r="F66" s="419">
        <v>2.6905000000000002E-2</v>
      </c>
      <c r="G66" s="419">
        <v>2.6905000000000002E-2</v>
      </c>
      <c r="H66" s="83"/>
      <c r="I66" s="464">
        <v>44</v>
      </c>
      <c r="J66" s="406" t="str">
        <f>CONCATENATE(VLOOKUP($I66, '[2]Commissioner Splits'!$A$4:$C$351, 2, FALSE), "     ", VLOOKUP($I66, '[2]Commissioner Splits'!$A$4:$C$351, 3, FALSE))</f>
        <v>Cardiff &amp; Vale     Paediatric Renal</v>
      </c>
      <c r="K66" s="452">
        <f>VLOOKUP($I66, 'Commissioner Splits'!$A$4:$J$351, 5, FALSE)*E66</f>
        <v>4.035654378362185E-3</v>
      </c>
      <c r="L66" s="380">
        <f>VLOOKUP($I66, 'Commissioner Splits'!$A$4:$J$351, 7, FALSE)*E66</f>
        <v>4.2569706431978471E-3</v>
      </c>
      <c r="M66" s="380">
        <f>VLOOKUP($I66, 'Commissioner Splits'!$A$4:$J$351, 10, FALSE)*E66</f>
        <v>1.1766930385975395E-5</v>
      </c>
      <c r="N66" s="380">
        <f>VLOOKUP($I66, 'Commissioner Splits'!$A$4:$J$351, 4, FALSE)*E66</f>
        <v>1.2865703018639898E-2</v>
      </c>
      <c r="O66" s="380">
        <f>VLOOKUP($I66, 'Commissioner Splits'!$A$4:$J$351, 6, FALSE)*E66</f>
        <v>3.1532649739528834E-3</v>
      </c>
      <c r="P66" s="380">
        <f>VLOOKUP($I66, 'Commissioner Splits'!$A$4:$J$351, 8, FALSE)*E66</f>
        <v>2.4436451439055619E-3</v>
      </c>
      <c r="Q66" s="380">
        <f>VLOOKUP($I66, 'Commissioner Splits'!$A$4:$J$351,9, FALSE)*E66</f>
        <v>1.3799491155565009E-4</v>
      </c>
      <c r="R66" s="452">
        <f t="shared" ref="R66" si="23">SUM(K66:Q66)</f>
        <v>2.6904999999999998E-2</v>
      </c>
      <c r="T66" s="4"/>
      <c r="U66" s="4"/>
      <c r="V66" s="4"/>
      <c r="W66" s="4"/>
      <c r="X66" s="4"/>
      <c r="Y66" s="4"/>
      <c r="Z66" s="4"/>
      <c r="AA66" s="4"/>
      <c r="AB66" s="4"/>
    </row>
    <row r="67" spans="1:28" s="3" customFormat="1" ht="16.5" customHeight="1" x14ac:dyDescent="0.2">
      <c r="A67" s="767" t="s">
        <v>54</v>
      </c>
      <c r="B67" s="727" t="s">
        <v>215</v>
      </c>
      <c r="D67" s="465" t="s">
        <v>24</v>
      </c>
      <c r="E67" s="419">
        <v>0.10535299999999999</v>
      </c>
      <c r="F67" s="419">
        <v>0.10535299999999999</v>
      </c>
      <c r="G67" s="419">
        <v>0.10535299999999999</v>
      </c>
      <c r="H67" s="83"/>
      <c r="I67" s="464">
        <v>43</v>
      </c>
      <c r="J67" s="406" t="str">
        <f>CONCATENATE(VLOOKUP($I67, '[2]Commissioner Splits'!$A$4:$C$351, 2, FALSE), "     ", VLOOKUP($I67, '[2]Commissioner Splits'!$A$4:$C$351, 3, FALSE))</f>
        <v>Cardiff &amp; Vale     Paediatric Surgery</v>
      </c>
      <c r="K67" s="452">
        <f>VLOOKUP($I67, 'Commissioner Splits'!$A$4:$J$351, 5, FALSE)*E67</f>
        <v>1.1721444466217605E-2</v>
      </c>
      <c r="L67" s="380">
        <f>VLOOKUP($I67, 'Commissioner Splits'!$A$4:$J$351, 7, FALSE)*E67</f>
        <v>2.05311947654154E-2</v>
      </c>
      <c r="M67" s="380">
        <f>VLOOKUP($I67, 'Commissioner Splits'!$A$4:$J$351, 10, FALSE)*E67</f>
        <v>1.9030097586710933E-4</v>
      </c>
      <c r="N67" s="380">
        <f>VLOOKUP($I67, 'Commissioner Splits'!$A$4:$J$351, 4, FALSE)*E67</f>
        <v>5.210940554912883E-2</v>
      </c>
      <c r="O67" s="380">
        <f>VLOOKUP($I67, 'Commissioner Splits'!$A$4:$J$351, 6, FALSE)*E67</f>
        <v>8.6986602720803517E-3</v>
      </c>
      <c r="P67" s="380">
        <f>VLOOKUP($I67, 'Commissioner Splits'!$A$4:$J$351, 8, FALSE)*E67</f>
        <v>1.1036695133961565E-2</v>
      </c>
      <c r="Q67" s="380">
        <f>VLOOKUP($I67, 'Commissioner Splits'!$A$4:$J$351,9, FALSE)*E67</f>
        <v>1.065298837329133E-3</v>
      </c>
      <c r="R67" s="452">
        <f t="shared" ref="R67" si="24">SUM(K67:Q67)</f>
        <v>0.10535299999999999</v>
      </c>
    </row>
    <row r="68" spans="1:28" s="3" customFormat="1" ht="16.5" customHeight="1" x14ac:dyDescent="0.2">
      <c r="A68" s="767" t="s">
        <v>54</v>
      </c>
      <c r="B68" s="727" t="s">
        <v>217</v>
      </c>
      <c r="D68" s="465" t="s">
        <v>24</v>
      </c>
      <c r="E68" s="419">
        <v>3.3911999999999998E-2</v>
      </c>
      <c r="F68" s="419">
        <v>3.3911999999999998E-2</v>
      </c>
      <c r="G68" s="419">
        <v>3.3911999999999998E-2</v>
      </c>
      <c r="H68" s="83"/>
      <c r="I68" s="464">
        <v>51</v>
      </c>
      <c r="J68" s="406" t="str">
        <f>CONCATENATE(VLOOKUP($I68, '[2]Commissioner Splits'!$A$4:$C$351, 2, FALSE), "     ", VLOOKUP($I68, '[2]Commissioner Splits'!$A$4:$C$351, 3, FALSE))</f>
        <v>Cardiff &amp; Vale     Paeds Cystic Fibrosis</v>
      </c>
      <c r="K68" s="452">
        <f>VLOOKUP($I68, 'Commissioner Splits'!$A$4:$J$351, 5, FALSE)*E68</f>
        <v>0</v>
      </c>
      <c r="L68" s="380">
        <f>VLOOKUP($I68, 'Commissioner Splits'!$A$4:$J$351, 7, FALSE)*E68</f>
        <v>6.1231507199999997E-3</v>
      </c>
      <c r="M68" s="380">
        <f>VLOOKUP($I68, 'Commissioner Splits'!$A$4:$J$351, 10, FALSE)*E68</f>
        <v>0</v>
      </c>
      <c r="N68" s="380">
        <f>VLOOKUP($I68, 'Commissioner Splits'!$A$4:$J$351, 4, FALSE)*E68</f>
        <v>1.601392464E-2</v>
      </c>
      <c r="O68" s="380">
        <f>VLOOKUP($I68, 'Commissioner Splits'!$A$4:$J$351, 6, FALSE)*E68</f>
        <v>7.064886959999999E-3</v>
      </c>
      <c r="P68" s="380">
        <f>VLOOKUP($I68, 'Commissioner Splits'!$A$4:$J$351, 8, FALSE)*E68</f>
        <v>4.7100376800000001E-3</v>
      </c>
      <c r="Q68" s="380">
        <f>VLOOKUP($I68, 'Commissioner Splits'!$A$4:$J$351,9, FALSE)*E68</f>
        <v>0</v>
      </c>
      <c r="R68" s="452">
        <f t="shared" ref="R68" si="25">SUM(K68:Q68)</f>
        <v>3.3911999999999998E-2</v>
      </c>
    </row>
    <row r="69" spans="1:28" s="3" customFormat="1" ht="16.5" customHeight="1" x14ac:dyDescent="0.2">
      <c r="A69" s="767" t="s">
        <v>54</v>
      </c>
      <c r="B69" s="727" t="s">
        <v>204</v>
      </c>
      <c r="D69" s="465" t="s">
        <v>24</v>
      </c>
      <c r="E69" s="419">
        <v>0.11279399999999987</v>
      </c>
      <c r="F69" s="419">
        <v>0.11279399999999987</v>
      </c>
      <c r="G69" s="419">
        <v>0.11279399999999987</v>
      </c>
      <c r="H69" s="83"/>
      <c r="I69" s="464">
        <v>27</v>
      </c>
      <c r="J69" s="413" t="str">
        <f>CONCATENATE(VLOOKUP($I69, '[2]Commissioner Splits'!$A$4:$C$351, 2, FALSE), "     ", VLOOKUP($I69, '[2]Commissioner Splits'!$A$4:$C$351, 3, FALSE))</f>
        <v>Cardiff &amp; Vale     PICU BH</v>
      </c>
      <c r="K69" s="452">
        <f>VLOOKUP($I69, 'Commissioner Splits'!$A$4:$J$351, 5, FALSE)*E69</f>
        <v>2.8801659883401134E-2</v>
      </c>
      <c r="L69" s="380">
        <f>VLOOKUP($I69, 'Commissioner Splits'!$A$4:$J$351, 7, FALSE)*E69</f>
        <v>3.1214299417005788E-2</v>
      </c>
      <c r="M69" s="380">
        <f>VLOOKUP($I69, 'Commissioner Splits'!$A$4:$J$351, 10, FALSE)*E69</f>
        <v>0</v>
      </c>
      <c r="N69" s="380">
        <f>VLOOKUP($I69, 'Commissioner Splits'!$A$4:$J$351, 4, FALSE)*E69</f>
        <v>2.0659142448575488E-2</v>
      </c>
      <c r="O69" s="380">
        <f>VLOOKUP($I69, 'Commissioner Splits'!$A$4:$J$351, 6, FALSE)*E69</f>
        <v>1.2817781982180162E-2</v>
      </c>
      <c r="P69" s="380">
        <f>VLOOKUP($I69, 'Commissioner Splits'!$A$4:$J$351, 8, FALSE)*E69</f>
        <v>1.8924388076119219E-2</v>
      </c>
      <c r="Q69" s="380">
        <f>VLOOKUP($I69, 'Commissioner Splits'!$A$4:$J$351,9, FALSE)*E69</f>
        <v>3.7672819271807235E-4</v>
      </c>
      <c r="R69" s="452">
        <f t="shared" ref="R69" si="26">SUM(K69:Q69)</f>
        <v>0.11279399999999985</v>
      </c>
    </row>
    <row r="70" spans="1:28" s="3" customFormat="1" ht="16.5" customHeight="1" x14ac:dyDescent="0.2">
      <c r="A70" s="767" t="s">
        <v>54</v>
      </c>
      <c r="B70" s="727" t="s">
        <v>73</v>
      </c>
      <c r="D70" s="465" t="s">
        <v>24</v>
      </c>
      <c r="E70" s="419">
        <v>-8.6778666666666768E-2</v>
      </c>
      <c r="F70" s="419">
        <v>-8.6778666666666768E-2</v>
      </c>
      <c r="G70" s="419">
        <v>-8.6778666666666768E-2</v>
      </c>
      <c r="H70" s="83"/>
      <c r="I70" s="464">
        <v>19</v>
      </c>
      <c r="J70" s="406" t="str">
        <f>CONCATENATE(VLOOKUP($I70, '[2]Commissioner Splits'!$A$4:$C$351, 2, FALSE), "     ", VLOOKUP($I70, '[2]Commissioner Splits'!$A$4:$C$351, 3, FALSE))</f>
        <v>Cardiff &amp; Vale     Renal CAPD (Dialysis)</v>
      </c>
      <c r="K70" s="452">
        <f>VLOOKUP($I70, 'Commissioner Splits'!$A$4:$J$351, 5, FALSE)*E70</f>
        <v>-7.3982170051409566E-3</v>
      </c>
      <c r="L70" s="380">
        <f>VLOOKUP($I70, 'Commissioner Splits'!$A$4:$J$351, 7, FALSE)*E70</f>
        <v>-4.1820076146258524E-2</v>
      </c>
      <c r="M70" s="380">
        <f>VLOOKUP($I70, 'Commissioner Splits'!$A$4:$J$351, 10, FALSE)*E70</f>
        <v>0</v>
      </c>
      <c r="N70" s="380">
        <f>VLOOKUP($I70, 'Commissioner Splits'!$A$4:$J$351, 4, FALSE)*E70</f>
        <v>-1.757763833016629E-2</v>
      </c>
      <c r="O70" s="380">
        <f>VLOOKUP($I70, 'Commissioner Splits'!$A$4:$J$351, 6, FALSE)*E70</f>
        <v>-1.5496586915760434E-2</v>
      </c>
      <c r="P70" s="380">
        <f>VLOOKUP($I70, 'Commissioner Splits'!$A$4:$J$351, 8, FALSE)*E70</f>
        <v>0</v>
      </c>
      <c r="Q70" s="380">
        <f>VLOOKUP($I70, 'Commissioner Splits'!$A$4:$J$351,9, FALSE)*E70</f>
        <v>-4.4861482693405747E-3</v>
      </c>
      <c r="R70" s="452">
        <f t="shared" ref="R70" si="27">SUM(K70:Q70)</f>
        <v>-8.6778666666666768E-2</v>
      </c>
    </row>
    <row r="71" spans="1:28" s="3" customFormat="1" ht="16.5" customHeight="1" x14ac:dyDescent="0.2">
      <c r="A71" s="767" t="s">
        <v>54</v>
      </c>
      <c r="B71" s="727" t="s">
        <v>74</v>
      </c>
      <c r="D71" s="465" t="s">
        <v>40</v>
      </c>
      <c r="E71" s="419">
        <v>-0.13309466666666669</v>
      </c>
      <c r="F71" s="419">
        <v>-0.13309466666666669</v>
      </c>
      <c r="G71" s="419">
        <v>-0.13309466666666669</v>
      </c>
      <c r="H71" s="83"/>
      <c r="I71" s="464">
        <v>16</v>
      </c>
      <c r="J71" s="406" t="str">
        <f>CONCATENATE(VLOOKUP($I71, '[2]Commissioner Splits'!$A$4:$C$351, 2, FALSE), "     ", VLOOKUP($I71, '[2]Commissioner Splits'!$A$4:$C$351, 3, FALSE))</f>
        <v>Cardiff &amp; Vale     Renal Surgery</v>
      </c>
      <c r="K71" s="452">
        <f>VLOOKUP($I71, 'Commissioner Splits'!$A$4:$J$351, 5, FALSE)*E71</f>
        <v>-1.7017888222115429E-2</v>
      </c>
      <c r="L71" s="380">
        <f>VLOOKUP($I71, 'Commissioner Splits'!$A$4:$J$351, 7, FALSE)*E71</f>
        <v>-4.6023192006449255E-2</v>
      </c>
      <c r="M71" s="380">
        <f>VLOOKUP($I71, 'Commissioner Splits'!$A$4:$J$351, 10, FALSE)*E71</f>
        <v>0</v>
      </c>
      <c r="N71" s="380">
        <f>VLOOKUP($I71, 'Commissioner Splits'!$A$4:$J$351, 4, FALSE)*E71</f>
        <v>-3.5793605438132321E-2</v>
      </c>
      <c r="O71" s="380">
        <f>VLOOKUP($I71, 'Commissioner Splits'!$A$4:$J$351, 6, FALSE)*E71</f>
        <v>-2.0579007467558995E-2</v>
      </c>
      <c r="P71" s="380">
        <f>VLOOKUP($I71, 'Commissioner Splits'!$A$4:$J$351, 8, FALSE)*E71</f>
        <v>-1.118871868533825E-2</v>
      </c>
      <c r="Q71" s="380">
        <f>VLOOKUP($I71, 'Commissioner Splits'!$A$4:$J$351,9, FALSE)*E71</f>
        <v>-2.4922548470724623E-3</v>
      </c>
      <c r="R71" s="452">
        <f t="shared" ref="R71" si="28">SUM(K71:Q71)</f>
        <v>-0.13309466666666672</v>
      </c>
    </row>
    <row r="72" spans="1:28" s="3" customFormat="1" ht="16.5" customHeight="1" x14ac:dyDescent="0.2">
      <c r="A72" s="767" t="s">
        <v>54</v>
      </c>
      <c r="B72" s="727" t="s">
        <v>75</v>
      </c>
      <c r="D72" s="465" t="s">
        <v>81</v>
      </c>
      <c r="E72" s="419">
        <v>0.69459733333333273</v>
      </c>
      <c r="F72" s="419">
        <v>0.69459733333333273</v>
      </c>
      <c r="G72" s="419">
        <v>0.69459733333333273</v>
      </c>
      <c r="H72" s="83"/>
      <c r="I72" s="464">
        <v>40</v>
      </c>
      <c r="J72" s="413" t="str">
        <f>CONCATENATE(VLOOKUP($I72, '[2]Commissioner Splits'!$A$4:$C$351, 2, FALSE), "     ", VLOOKUP($I72, '[2]Commissioner Splits'!$A$4:$C$351, 3, FALSE))</f>
        <v>Cardiff &amp; Vale     Renal Transplants</v>
      </c>
      <c r="K72" s="452">
        <f>VLOOKUP($I72, 'Commissioner Splits'!$A$4:$J$351, 5, FALSE)*E72</f>
        <v>0.1650502183466665</v>
      </c>
      <c r="L72" s="380">
        <f>VLOOKUP($I72, 'Commissioner Splits'!$A$4:$J$351, 7, FALSE)*E72</f>
        <v>0.18568670511999982</v>
      </c>
      <c r="M72" s="380">
        <f>VLOOKUP($I72, 'Commissioner Splits'!$A$4:$J$351, 10, FALSE)*E72</f>
        <v>0</v>
      </c>
      <c r="N72" s="380">
        <f>VLOOKUP($I72, 'Commissioner Splits'!$A$4:$J$351, 4, FALSE)*E72</f>
        <v>0.15129719114666654</v>
      </c>
      <c r="O72" s="380">
        <f>VLOOKUP($I72, 'Commissioner Splits'!$A$4:$J$351, 6, FALSE)*E72</f>
        <v>5.5019054773333277E-2</v>
      </c>
      <c r="P72" s="380">
        <f>VLOOKUP($I72, 'Commissioner Splits'!$A$4:$J$351, 8, FALSE)*E72</f>
        <v>0.12379113674666653</v>
      </c>
      <c r="Q72" s="380">
        <f>VLOOKUP($I72, 'Commissioner Splits'!$A$4:$J$351,9, FALSE)*E72</f>
        <v>1.3753027199999986E-2</v>
      </c>
      <c r="R72" s="452">
        <f t="shared" ref="R72" si="29">SUM(K72:Q72)</f>
        <v>0.69459733333333251</v>
      </c>
    </row>
    <row r="73" spans="1:28" s="3" customFormat="1" ht="16.5" customHeight="1" x14ac:dyDescent="0.2">
      <c r="A73" s="767" t="s">
        <v>54</v>
      </c>
      <c r="B73" s="727" t="s">
        <v>214</v>
      </c>
      <c r="D73" s="465" t="s">
        <v>81</v>
      </c>
      <c r="E73" s="419">
        <v>-5.2399999999999808E-3</v>
      </c>
      <c r="F73" s="419">
        <v>-5.2399999999999808E-3</v>
      </c>
      <c r="G73" s="419">
        <v>-5.2399999999999808E-3</v>
      </c>
      <c r="H73" s="83"/>
      <c r="I73" s="464">
        <v>41</v>
      </c>
      <c r="J73" s="413" t="str">
        <f>CONCATENATE(VLOOKUP($I73, '[2]Commissioner Splits'!$A$4:$C$351, 2, FALSE), "     ", VLOOKUP($I73, '[2]Commissioner Splits'!$A$4:$C$351, 3, FALSE))</f>
        <v>Cardiff &amp; Vale     Spinal Injuries</v>
      </c>
      <c r="K73" s="452">
        <f>VLOOKUP($I73, 'Commissioner Splits'!$A$4:$J$351, 5, FALSE)*E73</f>
        <v>-1.3285213704511995E-3</v>
      </c>
      <c r="L73" s="380">
        <f>VLOOKUP($I73, 'Commissioner Splits'!$A$4:$J$351, 7, FALSE)*E73</f>
        <v>-7.1250272333443115E-4</v>
      </c>
      <c r="M73" s="380">
        <f>VLOOKUP($I73, 'Commissioner Splits'!$A$4:$J$351, 10, FALSE)*E73</f>
        <v>0</v>
      </c>
      <c r="N73" s="380">
        <f>VLOOKUP($I73, 'Commissioner Splits'!$A$4:$J$351, 4, FALSE)*E73</f>
        <v>-1.6662370203749598E-3</v>
      </c>
      <c r="O73" s="380">
        <f>VLOOKUP($I73, 'Commissioner Splits'!$A$4:$J$351, 6, FALSE)*E73</f>
        <v>-1.1715634729704293E-3</v>
      </c>
      <c r="P73" s="380">
        <f>VLOOKUP($I73, 'Commissioner Splits'!$A$4:$J$351, 8, FALSE)*E73</f>
        <v>-3.2858978873473091E-4</v>
      </c>
      <c r="Q73" s="380">
        <f>VLOOKUP($I73, 'Commissioner Splits'!$A$4:$J$351,9, FALSE)*E73</f>
        <v>-3.2585624134230654E-5</v>
      </c>
      <c r="R73" s="452">
        <f t="shared" ref="R73" si="30">SUM(K73:Q73)</f>
        <v>-5.2399999999999808E-3</v>
      </c>
    </row>
    <row r="74" spans="1:28" s="3" customFormat="1" ht="16.5" customHeight="1" x14ac:dyDescent="0.2">
      <c r="A74" s="765" t="s">
        <v>3</v>
      </c>
      <c r="B74" s="727" t="s">
        <v>77</v>
      </c>
      <c r="D74" s="465" t="s">
        <v>24</v>
      </c>
      <c r="E74" s="419">
        <v>-8.0950999999999995E-2</v>
      </c>
      <c r="F74" s="419">
        <v>-8.0950999999999995E-2</v>
      </c>
      <c r="G74" s="419">
        <v>-8.0950999999999995E-2</v>
      </c>
      <c r="H74" s="83"/>
      <c r="I74" s="464">
        <v>121</v>
      </c>
      <c r="J74" s="413" t="str">
        <f>CONCATENATE(VLOOKUP($I74, '[2]Commissioner Splits'!$A$4:$C$351, 2, FALSE), "     ", VLOOKUP($I74, '[2]Commissioner Splits'!$A$4:$C$351, 3, FALSE))</f>
        <v>Cwm Taf     CAMHS T4</v>
      </c>
      <c r="K74" s="452">
        <f>VLOOKUP($I74, 'Commissioner Splits'!$A$4:$J$351, 5, FALSE)*E74</f>
        <v>0</v>
      </c>
      <c r="L74" s="380">
        <f>VLOOKUP($I74, 'Commissioner Splits'!$A$4:$J$351, 7, FALSE)*E74</f>
        <v>-2.3979919421211922E-2</v>
      </c>
      <c r="M74" s="380">
        <f>VLOOKUP($I74, 'Commissioner Splits'!$A$4:$J$351, 10, FALSE)*E74</f>
        <v>0</v>
      </c>
      <c r="N74" s="380">
        <f>VLOOKUP($I74, 'Commissioner Splits'!$A$4:$J$351, 4, FALSE)*E74</f>
        <v>-1.9836719131262871E-2</v>
      </c>
      <c r="O74" s="380">
        <f>VLOOKUP($I74, 'Commissioner Splits'!$A$4:$J$351, 6, FALSE)*E74</f>
        <v>-2.0290941567193674E-2</v>
      </c>
      <c r="P74" s="380">
        <f>VLOOKUP($I74, 'Commissioner Splits'!$A$4:$J$351, 8, FALSE)*E74</f>
        <v>-1.2185240284628198E-2</v>
      </c>
      <c r="Q74" s="380">
        <f>VLOOKUP($I74, 'Commissioner Splits'!$A$4:$J$351,9, FALSE)*E74</f>
        <v>-4.6581795957033288E-3</v>
      </c>
      <c r="R74" s="452">
        <f t="shared" ref="R74:R138" si="31">SUM(K74:Q74)</f>
        <v>-8.0950999999999995E-2</v>
      </c>
    </row>
    <row r="75" spans="1:28" s="3" customFormat="1" ht="16.5" customHeight="1" x14ac:dyDescent="0.2">
      <c r="A75" s="765" t="s">
        <v>3</v>
      </c>
      <c r="B75" s="727" t="s">
        <v>597</v>
      </c>
      <c r="D75" s="465"/>
      <c r="E75" s="419">
        <v>-0.04</v>
      </c>
      <c r="F75" s="419">
        <v>-0.04</v>
      </c>
      <c r="G75" s="419">
        <v>-0.04</v>
      </c>
      <c r="H75" s="83"/>
      <c r="I75" s="464">
        <v>125</v>
      </c>
      <c r="J75" s="413" t="str">
        <f>CONCATENATE(VLOOKUP($I75, '[2]Commissioner Splits'!$A$4:$C$351, 2, FALSE), "     ", VLOOKUP($I75, '[2]Commissioner Splits'!$A$4:$C$351, 3, FALSE))</f>
        <v>Cwm Taf     ICD</v>
      </c>
      <c r="K75" s="452">
        <f>VLOOKUP($I75, 'Commissioner Splits'!$A$4:$J$351, 5, FALSE)*E75</f>
        <v>0</v>
      </c>
      <c r="L75" s="380">
        <f>VLOOKUP($I75, 'Commissioner Splits'!$A$4:$J$351, 7, FALSE)*E75</f>
        <v>0</v>
      </c>
      <c r="M75" s="380">
        <f>VLOOKUP($I75, 'Commissioner Splits'!$A$4:$J$351, 10, FALSE)*E75</f>
        <v>0</v>
      </c>
      <c r="N75" s="380">
        <f>VLOOKUP($I75, 'Commissioner Splits'!$A$4:$J$351, 4, FALSE)*E75</f>
        <v>0</v>
      </c>
      <c r="O75" s="380">
        <f>VLOOKUP($I75, 'Commissioner Splits'!$A$4:$J$351, 6, FALSE)*E75</f>
        <v>-0.04</v>
      </c>
      <c r="P75" s="380">
        <f>VLOOKUP($I75, 'Commissioner Splits'!$A$4:$J$351, 8, FALSE)*E75</f>
        <v>0</v>
      </c>
      <c r="Q75" s="380">
        <f>VLOOKUP($I75, 'Commissioner Splits'!$A$4:$J$351,9, FALSE)*E75</f>
        <v>0</v>
      </c>
      <c r="R75" s="452">
        <f t="shared" ref="R75" si="32">SUM(K75:Q75)</f>
        <v>-0.04</v>
      </c>
    </row>
    <row r="76" spans="1:28" s="3" customFormat="1" ht="16.5" customHeight="1" x14ac:dyDescent="0.2">
      <c r="A76" s="765" t="s">
        <v>3</v>
      </c>
      <c r="B76" s="727" t="s">
        <v>171</v>
      </c>
      <c r="D76" s="465" t="s">
        <v>81</v>
      </c>
      <c r="E76" s="419">
        <v>4.2418946666666672E-2</v>
      </c>
      <c r="F76" s="419">
        <v>4.2418946666666672E-2</v>
      </c>
      <c r="G76" s="419">
        <v>4.2418946666666672E-2</v>
      </c>
      <c r="H76" s="83"/>
      <c r="I76" s="464">
        <v>119</v>
      </c>
      <c r="J76" s="406" t="str">
        <f>CONCATENATE(VLOOKUP($I76, '[2]Commissioner Splits'!$A$4:$C$351, 2, FALSE), "     ", VLOOKUP($I76, '[2]Commissioner Splits'!$A$4:$C$351, 3, FALSE))</f>
        <v>Cwm Taf     NICU</v>
      </c>
      <c r="K76" s="452">
        <f>VLOOKUP($I76, 'Commissioner Splits'!$A$4:$J$351, 5, FALSE)*E76</f>
        <v>4.0818507839420978E-4</v>
      </c>
      <c r="L76" s="380">
        <f>VLOOKUP($I76, 'Commissioner Splits'!$A$4:$J$351, 7, FALSE)*E76</f>
        <v>3.2383716657189759E-3</v>
      </c>
      <c r="M76" s="380">
        <f>VLOOKUP($I76, 'Commissioner Splits'!$A$4:$J$351, 10, FALSE)*E76</f>
        <v>0</v>
      </c>
      <c r="N76" s="380">
        <f>VLOOKUP($I76, 'Commissioner Splits'!$A$4:$J$351, 4, FALSE)*E76</f>
        <v>9.7643704627249823E-4</v>
      </c>
      <c r="O76" s="380">
        <f>VLOOKUP($I76, 'Commissioner Splits'!$A$4:$J$351, 6, FALSE)*E76</f>
        <v>3.7770373932775429E-2</v>
      </c>
      <c r="P76" s="380">
        <f>VLOOKUP($I76, 'Commissioner Splits'!$A$4:$J$351, 8, FALSE)*E76</f>
        <v>0</v>
      </c>
      <c r="Q76" s="380">
        <f>VLOOKUP($I76, 'Commissioner Splits'!$A$4:$J$351,9, FALSE)*E76</f>
        <v>2.6115801256586E-5</v>
      </c>
      <c r="R76" s="452">
        <f t="shared" si="31"/>
        <v>4.2419483524417705E-2</v>
      </c>
      <c r="T76" s="4"/>
      <c r="U76" s="4"/>
      <c r="V76" s="4"/>
      <c r="W76" s="4"/>
      <c r="X76" s="4"/>
      <c r="Y76" s="4"/>
      <c r="Z76" s="4"/>
      <c r="AA76" s="4"/>
      <c r="AB76" s="4"/>
    </row>
    <row r="77" spans="1:28" s="3" customFormat="1" ht="16.5" customHeight="1" x14ac:dyDescent="0.2">
      <c r="A77" s="765" t="s">
        <v>414</v>
      </c>
      <c r="B77" s="727" t="s">
        <v>415</v>
      </c>
      <c r="D77" s="465" t="s">
        <v>38</v>
      </c>
      <c r="E77" s="419">
        <v>0.8</v>
      </c>
      <c r="F77" s="419">
        <v>0.8</v>
      </c>
      <c r="G77" s="419">
        <v>0.8</v>
      </c>
      <c r="H77" s="83"/>
      <c r="I77" s="464">
        <v>258</v>
      </c>
      <c r="J77" s="413" t="str">
        <f>CONCATENATE(VLOOKUP($I77, '[2]Commissioner Splits'!$A$4:$C$351, 2, FALSE), "     ", VLOOKUP($I77, '[2]Commissioner Splits'!$A$4:$C$351, 3, FALSE))</f>
        <v xml:space="preserve">Renal      Renal General </v>
      </c>
      <c r="K77" s="452">
        <f>VLOOKUP($I77, 'Commissioner Splits'!$A$4:$J$351, 5, FALSE)*E77</f>
        <v>0.13320000000000001</v>
      </c>
      <c r="L77" s="380">
        <f>VLOOKUP($I77, 'Commissioner Splits'!$A$4:$J$351, 7, FALSE)*E77</f>
        <v>0.15040000000000001</v>
      </c>
      <c r="M77" s="380">
        <f>VLOOKUP($I77, 'Commissioner Splits'!$A$4:$J$351, 10, FALSE)*E77</f>
        <v>0.18256</v>
      </c>
      <c r="N77" s="380">
        <f>VLOOKUP($I77, 'Commissioner Splits'!$A$4:$J$351, 4, FALSE)*E77</f>
        <v>0.11968000000000001</v>
      </c>
      <c r="O77" s="380">
        <f>VLOOKUP($I77, 'Commissioner Splits'!$A$4:$J$351, 6, FALSE)*E77</f>
        <v>7.7440000000000009E-2</v>
      </c>
      <c r="P77" s="380">
        <f>VLOOKUP($I77, 'Commissioner Splits'!$A$4:$J$351, 8, FALSE)*E77</f>
        <v>0.10112000000000002</v>
      </c>
      <c r="Q77" s="380">
        <f>VLOOKUP($I77, 'Commissioner Splits'!$A$4:$J$351,9, FALSE)*E77</f>
        <v>3.56E-2</v>
      </c>
      <c r="R77" s="452">
        <f t="shared" si="31"/>
        <v>0.8</v>
      </c>
      <c r="T77" s="23"/>
      <c r="U77" s="23"/>
      <c r="V77" s="23"/>
      <c r="W77" s="23"/>
      <c r="X77" s="23"/>
      <c r="Y77" s="23"/>
      <c r="Z77" s="23"/>
      <c r="AA77" s="23"/>
      <c r="AB77" s="23"/>
    </row>
    <row r="78" spans="1:28" s="3" customFormat="1" ht="16.5" customHeight="1" x14ac:dyDescent="0.2">
      <c r="A78" s="765" t="s">
        <v>414</v>
      </c>
      <c r="B78" s="727" t="s">
        <v>583</v>
      </c>
      <c r="D78" s="465" t="s">
        <v>81</v>
      </c>
      <c r="E78" s="419">
        <v>4.8000000000000001E-2</v>
      </c>
      <c r="F78" s="419">
        <v>4.8000000000000001E-2</v>
      </c>
      <c r="G78" s="419">
        <v>4.8000000000000001E-2</v>
      </c>
      <c r="H78" s="83"/>
      <c r="I78" s="464">
        <v>35</v>
      </c>
      <c r="J78" s="406" t="str">
        <f>CONCATENATE(VLOOKUP($I78, '[2]Commissioner Splits'!$A$4:$C$351, 2, FALSE), "     ", VLOOKUP($I78, '[2]Commissioner Splits'!$A$4:$C$351, 3, FALSE))</f>
        <v>Cardiff &amp; Vale     Medical Genetics</v>
      </c>
      <c r="K78" s="452">
        <f>VLOOKUP($I78, 'Commissioner Splits'!$A$4:$J$351, 5, FALSE)*E78</f>
        <v>6.9821567106283953E-3</v>
      </c>
      <c r="L78" s="380">
        <f>VLOOKUP($I78, 'Commissioner Splits'!$A$4:$J$351, 7, FALSE)*E78</f>
        <v>9.0116369278510494E-3</v>
      </c>
      <c r="M78" s="380">
        <f>VLOOKUP($I78, 'Commissioner Splits'!$A$4:$J$351, 10, FALSE)*E78</f>
        <v>1.0749418153607448E-2</v>
      </c>
      <c r="N78" s="380">
        <f>VLOOKUP($I78, 'Commissioner Splits'!$A$4:$J$351, 4, FALSE)*E78</f>
        <v>1.0004654771140419E-2</v>
      </c>
      <c r="O78" s="380">
        <f>VLOOKUP($I78, 'Commissioner Splits'!$A$4:$J$351, 6, FALSE)*E78</f>
        <v>4.6733902249806057E-3</v>
      </c>
      <c r="P78" s="380">
        <f>VLOOKUP($I78, 'Commissioner Splits'!$A$4:$J$351, 8, FALSE)*E78</f>
        <v>1.396431342125679E-3</v>
      </c>
      <c r="Q78" s="380">
        <f>VLOOKUP($I78, 'Commissioner Splits'!$A$4:$J$351,9, FALSE)*E78</f>
        <v>5.1823118696664085E-3</v>
      </c>
      <c r="R78" s="452">
        <f t="shared" si="31"/>
        <v>4.8000000000000001E-2</v>
      </c>
      <c r="T78" s="4"/>
      <c r="U78" s="4"/>
      <c r="V78" s="4"/>
      <c r="W78" s="4"/>
      <c r="X78" s="4"/>
      <c r="Y78" s="4"/>
      <c r="Z78" s="4"/>
      <c r="AA78" s="4"/>
      <c r="AB78" s="4"/>
    </row>
    <row r="79" spans="1:28" s="3" customFormat="1" ht="16.5" customHeight="1" x14ac:dyDescent="0.2">
      <c r="A79" s="765" t="s">
        <v>25</v>
      </c>
      <c r="B79" s="727" t="s">
        <v>50</v>
      </c>
      <c r="D79" s="465" t="s">
        <v>81</v>
      </c>
      <c r="E79" s="419">
        <v>7.6999999999999999E-2</v>
      </c>
      <c r="F79" s="419">
        <v>7.6999999999999999E-2</v>
      </c>
      <c r="G79" s="419">
        <v>7.6999999999999999E-2</v>
      </c>
      <c r="H79" s="83"/>
      <c r="I79" s="464">
        <v>315</v>
      </c>
      <c r="J79" s="406" t="str">
        <f>CONCATENATE(VLOOKUP($I79, '[2]Commissioner Splits'!$A$4:$C$351, 2, FALSE), "     ", VLOOKUP($I79, '[2]Commissioner Splits'!$A$4:$C$351, 3, FALSE))</f>
        <v>DRC     Renal Network</v>
      </c>
      <c r="K79" s="452">
        <f>VLOOKUP($I79, 'Commissioner Splits'!$A$4:$J$351, 5, FALSE)*E79</f>
        <v>1.1200543056633051E-2</v>
      </c>
      <c r="L79" s="380">
        <f>VLOOKUP($I79, 'Commissioner Splits'!$A$4:$J$351, 7, FALSE)*E79</f>
        <v>1.4456167571761058E-2</v>
      </c>
      <c r="M79" s="380">
        <f>VLOOKUP($I79, 'Commissioner Splits'!$A$4:$J$351, 10, FALSE)*E79</f>
        <v>1.7243858288078614E-2</v>
      </c>
      <c r="N79" s="380">
        <f>VLOOKUP($I79, 'Commissioner Splits'!$A$4:$J$351, 4, FALSE)*E79</f>
        <v>1.6049133695371087E-2</v>
      </c>
      <c r="O79" s="380">
        <f>VLOOKUP($I79, 'Commissioner Splits'!$A$4:$J$351, 6, FALSE)*E79</f>
        <v>7.4968968192397215E-3</v>
      </c>
      <c r="P79" s="380">
        <f>VLOOKUP($I79, 'Commissioner Splits'!$A$4:$J$351, 8, FALSE)*E79</f>
        <v>2.2401086113266102E-3</v>
      </c>
      <c r="Q79" s="380">
        <f>VLOOKUP($I79, 'Commissioner Splits'!$A$4:$J$351,9, FALSE)*E79</f>
        <v>8.3132919575898637E-3</v>
      </c>
      <c r="R79" s="452">
        <f t="shared" si="31"/>
        <v>7.6999999999999999E-2</v>
      </c>
      <c r="T79" s="4"/>
      <c r="U79" s="4"/>
      <c r="V79" s="4"/>
      <c r="W79" s="4"/>
      <c r="X79" s="4"/>
      <c r="Y79" s="4"/>
      <c r="Z79" s="4"/>
      <c r="AA79" s="4"/>
      <c r="AB79" s="4"/>
    </row>
    <row r="80" spans="1:28" s="3" customFormat="1" ht="16.5" customHeight="1" x14ac:dyDescent="0.2">
      <c r="A80" s="765" t="s">
        <v>25</v>
      </c>
      <c r="B80" s="727" t="s">
        <v>86</v>
      </c>
      <c r="D80" s="465" t="s">
        <v>81</v>
      </c>
      <c r="E80" s="419">
        <v>-0.17899999999999999</v>
      </c>
      <c r="F80" s="419">
        <v>-0.17899999999999999</v>
      </c>
      <c r="G80" s="419">
        <v>-0.17899999999999999</v>
      </c>
      <c r="H80" s="83"/>
      <c r="I80" s="464">
        <v>311</v>
      </c>
      <c r="J80" s="406" t="str">
        <f>CONCATENATE(VLOOKUP($I80, '[2]Commissioner Splits'!$A$4:$C$351, 2, FALSE), "     ", VLOOKUP($I80, '[2]Commissioner Splits'!$A$4:$C$351, 3, FALSE))</f>
        <v>DRC     WHSSC - Core non-pay</v>
      </c>
      <c r="K80" s="452">
        <f>VLOOKUP($I80, 'Commissioner Splits'!$A$4:$J$351, 5, FALSE)*E80</f>
        <v>-2.98035E-2</v>
      </c>
      <c r="L80" s="380">
        <f>VLOOKUP($I80, 'Commissioner Splits'!$A$4:$J$351, 7, FALSE)*E80</f>
        <v>-3.3652000000000001E-2</v>
      </c>
      <c r="M80" s="380">
        <f>VLOOKUP($I80, 'Commissioner Splits'!$A$4:$J$351, 10, FALSE)*E80</f>
        <v>-4.0847799999999997E-2</v>
      </c>
      <c r="N80" s="380">
        <f>VLOOKUP($I80, 'Commissioner Splits'!$A$4:$J$351, 4, FALSE)*E80</f>
        <v>-2.6778400000000001E-2</v>
      </c>
      <c r="O80" s="380">
        <f>VLOOKUP($I80, 'Commissioner Splits'!$A$4:$J$351, 6, FALSE)*E80</f>
        <v>-1.7327199999999997E-2</v>
      </c>
      <c r="P80" s="380">
        <f>VLOOKUP($I80, 'Commissioner Splits'!$A$4:$J$351, 8, FALSE)*E80</f>
        <v>-2.2625600000000003E-2</v>
      </c>
      <c r="Q80" s="380">
        <f>VLOOKUP($I80, 'Commissioner Splits'!$A$4:$J$351,9, FALSE)*E80</f>
        <v>-7.9654999999999986E-3</v>
      </c>
      <c r="R80" s="452">
        <f t="shared" si="31"/>
        <v>-0.17899999999999996</v>
      </c>
      <c r="T80" s="4"/>
      <c r="U80" s="4"/>
      <c r="V80" s="4"/>
      <c r="W80" s="4"/>
      <c r="X80" s="4"/>
      <c r="Y80" s="4"/>
      <c r="Z80" s="4"/>
      <c r="AA80" s="4"/>
      <c r="AB80" s="4"/>
    </row>
    <row r="81" spans="1:28" s="3" customFormat="1" ht="16.5" customHeight="1" x14ac:dyDescent="0.2">
      <c r="A81" s="765" t="s">
        <v>25</v>
      </c>
      <c r="B81" s="727" t="s">
        <v>87</v>
      </c>
      <c r="D81" s="465" t="s">
        <v>47</v>
      </c>
      <c r="E81" s="419">
        <v>0.26300000000000001</v>
      </c>
      <c r="F81" s="419">
        <v>0.26300000000000001</v>
      </c>
      <c r="G81" s="419">
        <v>0.26300000000000001</v>
      </c>
      <c r="H81" s="83"/>
      <c r="I81" s="464">
        <v>310</v>
      </c>
      <c r="J81" s="406" t="str">
        <f>CONCATENATE(VLOOKUP($I81, '[2]Commissioner Splits'!$A$4:$C$351, 2, FALSE), "     ", VLOOKUP($I81, '[2]Commissioner Splits'!$A$4:$C$351, 3, FALSE))</f>
        <v>DRC     WHSSC - Core Staffing</v>
      </c>
      <c r="K81" s="452">
        <f>VLOOKUP($I81, 'Commissioner Splits'!$A$4:$J$351, 5, FALSE)*E81</f>
        <v>2.5931799999999998E-2</v>
      </c>
      <c r="L81" s="380">
        <f>VLOOKUP($I81, 'Commissioner Splits'!$A$4:$J$351, 7, FALSE)*E81</f>
        <v>0.10322750000000001</v>
      </c>
      <c r="M81" s="380">
        <f>VLOOKUP($I81, 'Commissioner Splits'!$A$4:$J$351, 10, FALSE)*E81</f>
        <v>0</v>
      </c>
      <c r="N81" s="380">
        <f>VLOOKUP($I81, 'Commissioner Splits'!$A$4:$J$351, 4, FALSE)*E81</f>
        <v>7.54547E-2</v>
      </c>
      <c r="O81" s="380">
        <f>VLOOKUP($I81, 'Commissioner Splits'!$A$4:$J$351, 6, FALSE)*E81</f>
        <v>4.8786500000000003E-2</v>
      </c>
      <c r="P81" s="380">
        <f>VLOOKUP($I81, 'Commissioner Splits'!$A$4:$J$351, 8, FALSE)*E81</f>
        <v>3.9713000000000005E-3</v>
      </c>
      <c r="Q81" s="380">
        <f>VLOOKUP($I81, 'Commissioner Splits'!$A$4:$J$351,9, FALSE)*E81</f>
        <v>5.6281999999999999E-3</v>
      </c>
      <c r="R81" s="452">
        <f t="shared" si="31"/>
        <v>0.26300000000000001</v>
      </c>
      <c r="T81" s="4"/>
      <c r="U81" s="4"/>
      <c r="V81" s="4"/>
      <c r="W81" s="4"/>
      <c r="X81" s="4"/>
      <c r="Y81" s="4"/>
      <c r="Z81" s="4"/>
      <c r="AA81" s="4"/>
      <c r="AB81" s="4"/>
    </row>
    <row r="82" spans="1:28" s="3" customFormat="1" ht="16.5" customHeight="1" x14ac:dyDescent="0.2">
      <c r="A82" s="765" t="s">
        <v>4</v>
      </c>
      <c r="B82" s="727" t="s">
        <v>171</v>
      </c>
      <c r="D82" s="465" t="s">
        <v>81</v>
      </c>
      <c r="E82" s="419">
        <v>-0.11970392749999996</v>
      </c>
      <c r="F82" s="419">
        <v>-0.11970392749999996</v>
      </c>
      <c r="G82" s="419">
        <v>-0.11970392749999996</v>
      </c>
      <c r="H82" s="83"/>
      <c r="I82" s="464">
        <v>132</v>
      </c>
      <c r="J82" s="406" t="str">
        <f>CONCATENATE(VLOOKUP($I82, '[2]Commissioner Splits'!$A$4:$C$351, 2, FALSE), "     ", VLOOKUP($I82, '[2]Commissioner Splits'!$A$4:$C$351, 3, FALSE))</f>
        <v>Hywel Dda Health Board Provider     NICU</v>
      </c>
      <c r="K82" s="452">
        <f>VLOOKUP($I82, 'Commissioner Splits'!$A$4:$J$351, 5, FALSE)*E82</f>
        <v>-1.327783291704239E-3</v>
      </c>
      <c r="L82" s="380">
        <f>VLOOKUP($I82, 'Commissioner Splits'!$A$4:$J$351, 7, FALSE)*E82</f>
        <v>-9.3163207635054484E-5</v>
      </c>
      <c r="M82" s="380">
        <f>VLOOKUP($I82, 'Commissioner Splits'!$A$4:$J$351, 10, FALSE)*E82</f>
        <v>0</v>
      </c>
      <c r="N82" s="380">
        <f>VLOOKUP($I82, 'Commissioner Splits'!$A$4:$J$351, 4, FALSE)*E82</f>
        <v>-5.815642658430673E-4</v>
      </c>
      <c r="O82" s="380">
        <f>VLOOKUP($I82, 'Commissioner Splits'!$A$4:$J$351, 6, FALSE)*E82</f>
        <v>-1.0034557613811349E-3</v>
      </c>
      <c r="P82" s="380">
        <f>VLOOKUP($I82, 'Commissioner Splits'!$A$4:$J$351, 8, FALSE)*E82</f>
        <v>-0.11542132610945344</v>
      </c>
      <c r="Q82" s="380">
        <f>VLOOKUP($I82, 'Commissioner Splits'!$A$4:$J$351,9, FALSE)*E82</f>
        <v>-1.2766348639830327E-3</v>
      </c>
      <c r="R82" s="452">
        <f t="shared" si="31"/>
        <v>-0.11970392749999997</v>
      </c>
      <c r="T82" s="4"/>
      <c r="U82" s="4"/>
      <c r="V82" s="4"/>
      <c r="W82" s="4"/>
      <c r="X82" s="4"/>
      <c r="Y82" s="4"/>
      <c r="Z82" s="4"/>
      <c r="AA82" s="4"/>
      <c r="AB82" s="4"/>
    </row>
    <row r="83" spans="1:28" s="3" customFormat="1" ht="16.5" customHeight="1" x14ac:dyDescent="0.2">
      <c r="A83" s="766" t="s">
        <v>36</v>
      </c>
      <c r="B83" s="728" t="s">
        <v>416</v>
      </c>
      <c r="D83" s="465" t="s">
        <v>81</v>
      </c>
      <c r="E83" s="419">
        <v>-0.45</v>
      </c>
      <c r="F83" s="419">
        <v>-0.45</v>
      </c>
      <c r="G83" s="419">
        <v>-0.45</v>
      </c>
      <c r="H83" s="83"/>
      <c r="I83" s="464">
        <v>225</v>
      </c>
      <c r="J83" s="406" t="s">
        <v>416</v>
      </c>
      <c r="K83" s="452">
        <f>VLOOKUP($I83, 'Commissioner Splits'!$A$4:$J$351, 5, FALSE)*E83</f>
        <v>-7.4925000000000005E-2</v>
      </c>
      <c r="L83" s="380">
        <f>VLOOKUP($I83, 'Commissioner Splits'!$A$4:$J$351, 7, FALSE)*E83</f>
        <v>-8.4600000000000009E-2</v>
      </c>
      <c r="M83" s="380">
        <f>VLOOKUP($I83, 'Commissioner Splits'!$A$4:$J$351, 10, FALSE)*E83</f>
        <v>-0.10268999999999999</v>
      </c>
      <c r="N83" s="380">
        <f>VLOOKUP($I83, 'Commissioner Splits'!$A$4:$J$351, 4, FALSE)*E83</f>
        <v>-6.7320000000000005E-2</v>
      </c>
      <c r="O83" s="380">
        <f>VLOOKUP($I83, 'Commissioner Splits'!$A$4:$J$351, 6, FALSE)*E83</f>
        <v>-4.3560000000000001E-2</v>
      </c>
      <c r="P83" s="380">
        <f>VLOOKUP($I83, 'Commissioner Splits'!$A$4:$J$351, 8, FALSE)*E83</f>
        <v>-5.6880000000000007E-2</v>
      </c>
      <c r="Q83" s="380">
        <f>VLOOKUP($I83, 'Commissioner Splits'!$A$4:$J$351,9, FALSE)*E83</f>
        <v>-2.0025000000000001E-2</v>
      </c>
      <c r="R83" s="452">
        <f t="shared" si="31"/>
        <v>-0.45</v>
      </c>
      <c r="T83" s="4"/>
      <c r="U83" s="4"/>
      <c r="V83" s="4"/>
      <c r="W83" s="4"/>
      <c r="X83" s="4"/>
      <c r="Y83" s="4"/>
      <c r="Z83" s="4"/>
      <c r="AA83" s="4"/>
      <c r="AB83" s="4"/>
    </row>
    <row r="84" spans="1:28" s="3" customFormat="1" ht="16.5" customHeight="1" x14ac:dyDescent="0.2">
      <c r="A84" s="765" t="s">
        <v>36</v>
      </c>
      <c r="B84" s="727" t="s">
        <v>88</v>
      </c>
      <c r="D84" s="465" t="s">
        <v>81</v>
      </c>
      <c r="E84" s="419">
        <v>4.8618999999999982E-2</v>
      </c>
      <c r="F84" s="419">
        <v>4.8618999999999982E-2</v>
      </c>
      <c r="G84" s="419">
        <v>4.8618999999999982E-2</v>
      </c>
      <c r="H84" s="83"/>
      <c r="I84" s="464">
        <v>204</v>
      </c>
      <c r="J84" s="406" t="str">
        <f>CONCATENATE(VLOOKUP($I84, '[2]Commissioner Splits'!$A$4:$C$351, 2, FALSE), "     ", VLOOKUP($I84, '[2]Commissioner Splits'!$A$4:$C$351, 3, FALSE))</f>
        <v>IPM     ALAS (War veterans)</v>
      </c>
      <c r="K84" s="452">
        <f>VLOOKUP($I84, 'Commissioner Splits'!$A$4:$J$351, 5, FALSE)*E84</f>
        <v>9.4330587940897573E-4</v>
      </c>
      <c r="L84" s="380">
        <f>VLOOKUP($I84, 'Commissioner Splits'!$A$4:$J$351, 7, FALSE)*E84</f>
        <v>9.4101531295186277E-3</v>
      </c>
      <c r="M84" s="380">
        <f>VLOOKUP($I84, 'Commissioner Splits'!$A$4:$J$351, 10, FALSE)*E84</f>
        <v>2.346449899661342E-3</v>
      </c>
      <c r="N84" s="380">
        <f>VLOOKUP($I84, 'Commissioner Splits'!$A$4:$J$351, 4, FALSE)*E84</f>
        <v>3.3188669146781084E-2</v>
      </c>
      <c r="O84" s="380">
        <f>VLOOKUP($I84, 'Commissioner Splits'!$A$4:$J$351, 6, FALSE)*E84</f>
        <v>0</v>
      </c>
      <c r="P84" s="380">
        <f>VLOOKUP($I84, 'Commissioner Splits'!$A$4:$J$351, 8, FALSE)*E84</f>
        <v>2.190684665835391E-5</v>
      </c>
      <c r="Q84" s="380">
        <f>VLOOKUP($I84, 'Commissioner Splits'!$A$4:$J$351,9, FALSE)*E84</f>
        <v>2.7085150979715895E-3</v>
      </c>
      <c r="R84" s="452">
        <f t="shared" si="31"/>
        <v>4.8618999999999975E-2</v>
      </c>
    </row>
    <row r="85" spans="1:28" s="3" customFormat="1" ht="16.5" customHeight="1" x14ac:dyDescent="0.2">
      <c r="A85" s="765" t="s">
        <v>36</v>
      </c>
      <c r="B85" s="727" t="s">
        <v>340</v>
      </c>
      <c r="C85" s="23"/>
      <c r="D85" s="465" t="s">
        <v>81</v>
      </c>
      <c r="E85" s="419">
        <v>0.32800000000000001</v>
      </c>
      <c r="F85" s="419">
        <v>0.32800000000000001</v>
      </c>
      <c r="G85" s="419">
        <v>0.32800000000000001</v>
      </c>
      <c r="H85" s="83"/>
      <c r="I85" s="464">
        <v>203</v>
      </c>
      <c r="J85" s="406" t="str">
        <f>CONCATENATE(VLOOKUP($I85, '[2]Commissioner Splits'!$A$4:$C$351, 2, FALSE), "     ", VLOOKUP($I85, '[2]Commissioner Splits'!$A$4:$C$351, 3, FALSE))</f>
        <v>IPM     Eculizumab (AHUS)</v>
      </c>
      <c r="K85" s="452">
        <f>VLOOKUP($I85, 'Commissioner Splits'!$A$4:$J$351, 5, FALSE)*E85</f>
        <v>5.5464800000000002E-2</v>
      </c>
      <c r="L85" s="380">
        <f>VLOOKUP($I85, 'Commissioner Splits'!$A$4:$J$351, 7, FALSE)*E85</f>
        <v>6.1598399999999998E-2</v>
      </c>
      <c r="M85" s="380">
        <f>VLOOKUP($I85, 'Commissioner Splits'!$A$4:$J$351, 10, FALSE)*E85</f>
        <v>7.3636000000000007E-2</v>
      </c>
      <c r="N85" s="380">
        <f>VLOOKUP($I85, 'Commissioner Splits'!$A$4:$J$351, 4, FALSE)*E85</f>
        <v>5.1135200000000006E-2</v>
      </c>
      <c r="O85" s="380">
        <f>VLOOKUP($I85, 'Commissioner Splits'!$A$4:$J$351, 6, FALSE)*E85</f>
        <v>3.1356800000000004E-2</v>
      </c>
      <c r="P85" s="380">
        <f>VLOOKUP($I85, 'Commissioner Splits'!$A$4:$J$351, 8, FALSE)*E85</f>
        <v>4.0737600000000006E-2</v>
      </c>
      <c r="Q85" s="380">
        <f>VLOOKUP($I85, 'Commissioner Splits'!$A$4:$J$351,9, FALSE)*E85</f>
        <v>1.4071200000000001E-2</v>
      </c>
      <c r="R85" s="452">
        <f t="shared" si="31"/>
        <v>0.32800000000000001</v>
      </c>
    </row>
    <row r="86" spans="1:28" s="3" customFormat="1" ht="16.5" customHeight="1" x14ac:dyDescent="0.2">
      <c r="A86" s="765" t="s">
        <v>36</v>
      </c>
      <c r="B86" s="727" t="s">
        <v>342</v>
      </c>
      <c r="D86" s="465" t="s">
        <v>50</v>
      </c>
      <c r="E86" s="419">
        <v>4.8000000000000004E-3</v>
      </c>
      <c r="F86" s="419">
        <v>4.8000000000000004E-3</v>
      </c>
      <c r="G86" s="419">
        <v>4.8000000000000004E-3</v>
      </c>
      <c r="H86" s="83"/>
      <c r="I86" s="464">
        <v>209</v>
      </c>
      <c r="J86" s="406" t="str">
        <f>CONCATENATE(VLOOKUP($I86, '[2]Commissioner Splits'!$A$4:$C$351, 2, FALSE), "     ", VLOOKUP($I86, '[2]Commissioner Splits'!$A$4:$C$351, 3, FALSE))</f>
        <v>IPM     MS</v>
      </c>
      <c r="K86" s="452">
        <f>VLOOKUP($I86, 'Commissioner Splits'!$A$4:$J$351, 5, FALSE)*E86</f>
        <v>0</v>
      </c>
      <c r="L86" s="380">
        <f>VLOOKUP($I86, 'Commissioner Splits'!$A$4:$J$351, 7, FALSE)*E86</f>
        <v>0</v>
      </c>
      <c r="M86" s="380">
        <f>VLOOKUP($I86, 'Commissioner Splits'!$A$4:$J$351, 10, FALSE)*E86</f>
        <v>3.9777899809229876E-3</v>
      </c>
      <c r="N86" s="380">
        <f>VLOOKUP($I86, 'Commissioner Splits'!$A$4:$J$351, 4, FALSE)*E86</f>
        <v>0</v>
      </c>
      <c r="O86" s="380">
        <f>VLOOKUP($I86, 'Commissioner Splits'!$A$4:$J$351, 6, FALSE)*E86</f>
        <v>0</v>
      </c>
      <c r="P86" s="380">
        <f>VLOOKUP($I86, 'Commissioner Splits'!$A$4:$J$351, 8, FALSE)*E86</f>
        <v>0</v>
      </c>
      <c r="Q86" s="380">
        <f>VLOOKUP($I86, 'Commissioner Splits'!$A$4:$J$351,9, FALSE)*E86</f>
        <v>8.2221001907701273E-4</v>
      </c>
      <c r="R86" s="452">
        <f t="shared" si="31"/>
        <v>4.8000000000000004E-3</v>
      </c>
    </row>
    <row r="87" spans="1:28" s="3" customFormat="1" ht="16.5" customHeight="1" x14ac:dyDescent="0.2">
      <c r="A87" s="765" t="s">
        <v>36</v>
      </c>
      <c r="B87" s="727" t="s">
        <v>37</v>
      </c>
      <c r="D87" s="465" t="s">
        <v>50</v>
      </c>
      <c r="E87" s="419">
        <v>0.39869200000000021</v>
      </c>
      <c r="F87" s="419">
        <v>0.39869200000000021</v>
      </c>
      <c r="G87" s="419">
        <v>0.39869200000000021</v>
      </c>
      <c r="H87" s="83"/>
      <c r="I87" s="464">
        <v>208</v>
      </c>
      <c r="J87" s="406" t="str">
        <f>CONCATENATE(VLOOKUP($I87, '[2]Commissioner Splits'!$A$4:$C$351, 2, FALSE), "     ", VLOOKUP($I87, '[2]Commissioner Splits'!$A$4:$C$351, 3, FALSE))</f>
        <v>IPM     PHT</v>
      </c>
      <c r="K87" s="452">
        <f>VLOOKUP($I87, 'Commissioner Splits'!$A$4:$J$351, 5, FALSE)*E87</f>
        <v>6.5422930342938683E-3</v>
      </c>
      <c r="L87" s="380">
        <f>VLOOKUP($I87, 'Commissioner Splits'!$A$4:$J$351, 7, FALSE)*E87</f>
        <v>8.3691123894097746E-2</v>
      </c>
      <c r="M87" s="380">
        <f>VLOOKUP($I87, 'Commissioner Splits'!$A$4:$J$351, 10, FALSE)*E87</f>
        <v>0.21682522074944077</v>
      </c>
      <c r="N87" s="380">
        <f>VLOOKUP($I87, 'Commissioner Splits'!$A$4:$J$351, 4, FALSE)*E87</f>
        <v>1.3500027187143823E-2</v>
      </c>
      <c r="O87" s="380">
        <f>VLOOKUP($I87, 'Commissioner Splits'!$A$4:$J$351, 6, FALSE)*E87</f>
        <v>5.1325688368952412E-2</v>
      </c>
      <c r="P87" s="380">
        <f>VLOOKUP($I87, 'Commissioner Splits'!$A$4:$J$351, 8, FALSE)*E87</f>
        <v>0</v>
      </c>
      <c r="Q87" s="380">
        <f>VLOOKUP($I87, 'Commissioner Splits'!$A$4:$J$351,9, FALSE)*E87</f>
        <v>2.6807646766071641E-2</v>
      </c>
      <c r="R87" s="452">
        <f t="shared" si="31"/>
        <v>0.39869200000000027</v>
      </c>
    </row>
    <row r="88" spans="1:28" s="3" customFormat="1" ht="16.5" customHeight="1" x14ac:dyDescent="0.2">
      <c r="A88" s="765" t="s">
        <v>142</v>
      </c>
      <c r="B88" s="727" t="s">
        <v>175</v>
      </c>
      <c r="C88" s="23"/>
      <c r="D88" s="465" t="s">
        <v>50</v>
      </c>
      <c r="E88" s="419">
        <v>0.05</v>
      </c>
      <c r="F88" s="419">
        <v>0.05</v>
      </c>
      <c r="G88" s="419">
        <v>0.05</v>
      </c>
      <c r="H88" s="83"/>
      <c r="I88" s="464">
        <v>224</v>
      </c>
      <c r="J88" s="406" t="str">
        <f>CONCATENATE(VLOOKUP($I88, '[2]Commissioner Splits'!$A$4:$C$351, 2, FALSE), "     ", VLOOKUP($I88, '[2]Commissioner Splits'!$A$4:$C$351, 3, FALSE))</f>
        <v>IPM     IVF (Welsh contracts)</v>
      </c>
      <c r="K88" s="452">
        <f>VLOOKUP($I88, 'Commissioner Splits'!$A$4:$J$351, 5, FALSE)*E88</f>
        <v>1.4162234042553193E-2</v>
      </c>
      <c r="L88" s="380">
        <f>VLOOKUP($I88, 'Commissioner Splits'!$A$4:$J$351, 7, FALSE)*E88</f>
        <v>9.3085106382978719E-3</v>
      </c>
      <c r="M88" s="380">
        <f>VLOOKUP($I88, 'Commissioner Splits'!$A$4:$J$351, 10, FALSE)*E88</f>
        <v>6.6489361702127661E-5</v>
      </c>
      <c r="N88" s="380">
        <f>VLOOKUP($I88, 'Commissioner Splits'!$A$4:$J$351, 4, FALSE)*E88</f>
        <v>1.2965425531914893E-2</v>
      </c>
      <c r="O88" s="380">
        <f>VLOOKUP($I88, 'Commissioner Splits'!$A$4:$J$351, 6, FALSE)*E88</f>
        <v>3.9893617021276601E-3</v>
      </c>
      <c r="P88" s="380">
        <f>VLOOKUP($I88, 'Commissioner Splits'!$A$4:$J$351, 8, FALSE)*E88</f>
        <v>8.6436170212765961E-3</v>
      </c>
      <c r="Q88" s="380">
        <f>VLOOKUP($I88, 'Commissioner Splits'!$A$4:$J$351,9, FALSE)*E88</f>
        <v>8.6436170212765963E-4</v>
      </c>
      <c r="R88" s="452">
        <f t="shared" si="31"/>
        <v>0.05</v>
      </c>
      <c r="T88" s="4"/>
      <c r="U88" s="4"/>
      <c r="V88" s="4"/>
      <c r="W88" s="4"/>
      <c r="X88" s="4"/>
      <c r="Y88" s="4"/>
      <c r="Z88" s="4"/>
      <c r="AA88" s="4"/>
      <c r="AB88" s="4"/>
    </row>
    <row r="89" spans="1:28" s="3" customFormat="1" ht="16.5" customHeight="1" x14ac:dyDescent="0.2">
      <c r="A89" s="765" t="s">
        <v>417</v>
      </c>
      <c r="B89" s="727" t="s">
        <v>90</v>
      </c>
      <c r="D89" s="465" t="s">
        <v>50</v>
      </c>
      <c r="E89" s="419">
        <v>-0.60399999999999998</v>
      </c>
      <c r="F89" s="419">
        <v>-0.60399999999999998</v>
      </c>
      <c r="G89" s="419">
        <v>-0.60399999999999998</v>
      </c>
      <c r="H89" s="83"/>
      <c r="I89" s="464">
        <v>218</v>
      </c>
      <c r="J89" s="406" t="str">
        <f>CONCATENATE(VLOOKUP($I89, '[2]Commissioner Splits'!$A$4:$C$351, 2, FALSE), "     ", VLOOKUP($I89, '[2]Commissioner Splits'!$A$4:$C$351, 3, FALSE))</f>
        <v>IPM     CAMHS OOA - BCU patients</v>
      </c>
      <c r="K89" s="452">
        <f>VLOOKUP($I89, 'Commissioner Splits'!$A$4:$J$351, 5, FALSE)*E89</f>
        <v>0</v>
      </c>
      <c r="L89" s="380">
        <f>VLOOKUP($I89, 'Commissioner Splits'!$A$4:$J$351, 7, FALSE)*E89</f>
        <v>0</v>
      </c>
      <c r="M89" s="380">
        <f>VLOOKUP($I89, 'Commissioner Splits'!$A$4:$J$351, 10, FALSE)*E89</f>
        <v>-0.60399999999999998</v>
      </c>
      <c r="N89" s="380">
        <f>VLOOKUP($I89, 'Commissioner Splits'!$A$4:$J$351, 4, FALSE)*E89</f>
        <v>0</v>
      </c>
      <c r="O89" s="380">
        <f>VLOOKUP($I89, 'Commissioner Splits'!$A$4:$J$351, 6, FALSE)*E89</f>
        <v>0</v>
      </c>
      <c r="P89" s="380">
        <f>VLOOKUP($I89, 'Commissioner Splits'!$A$4:$J$351, 8, FALSE)*E89</f>
        <v>0</v>
      </c>
      <c r="Q89" s="380">
        <f>VLOOKUP($I89, 'Commissioner Splits'!$A$4:$J$351,9, FALSE)*E89</f>
        <v>0</v>
      </c>
      <c r="R89" s="452">
        <f t="shared" si="31"/>
        <v>-0.60399999999999998</v>
      </c>
    </row>
    <row r="90" spans="1:28" s="3" customFormat="1" ht="16.5" customHeight="1" x14ac:dyDescent="0.2">
      <c r="A90" s="765" t="s">
        <v>417</v>
      </c>
      <c r="B90" s="727" t="s">
        <v>91</v>
      </c>
      <c r="D90" s="465" t="s">
        <v>50</v>
      </c>
      <c r="E90" s="419">
        <v>-0.13</v>
      </c>
      <c r="F90" s="419">
        <v>-0.13</v>
      </c>
      <c r="G90" s="419">
        <v>-0.13</v>
      </c>
      <c r="H90" s="83"/>
      <c r="I90" s="464">
        <v>219</v>
      </c>
      <c r="J90" s="406" t="str">
        <f>CONCATENATE(VLOOKUP($I90, '[2]Commissioner Splits'!$A$4:$C$351, 2, FALSE), "     ", VLOOKUP($I90, '[2]Commissioner Splits'!$A$4:$C$351, 3, FALSE))</f>
        <v>IPM     CAMHS OOA - South Wales patients</v>
      </c>
      <c r="K90" s="452">
        <f>VLOOKUP($I90, 'Commissioner Splits'!$A$4:$J$351, 5, FALSE)*E90</f>
        <v>-1.3341107871720118E-2</v>
      </c>
      <c r="L90" s="380">
        <f>VLOOKUP($I90, 'Commissioner Splits'!$A$4:$J$351, 7, FALSE)*E90</f>
        <v>-3.1988338192419828E-2</v>
      </c>
      <c r="M90" s="380">
        <f>VLOOKUP($I90, 'Commissioner Splits'!$A$4:$J$351, 10, FALSE)*E90</f>
        <v>0</v>
      </c>
      <c r="N90" s="380">
        <f>VLOOKUP($I90, 'Commissioner Splits'!$A$4:$J$351, 4, FALSE)*E90</f>
        <v>-2.4256559766763847E-2</v>
      </c>
      <c r="O90" s="380">
        <f>VLOOKUP($I90, 'Commissioner Splits'!$A$4:$J$351, 6, FALSE)*E90</f>
        <v>-1.0536443148688047E-2</v>
      </c>
      <c r="P90" s="380">
        <f>VLOOKUP($I90, 'Commissioner Splits'!$A$4:$J$351, 8, FALSE)*E90</f>
        <v>-4.9877551020408167E-2</v>
      </c>
      <c r="Q90" s="380">
        <f>VLOOKUP($I90, 'Commissioner Splits'!$A$4:$J$351,9, FALSE)*E90</f>
        <v>0</v>
      </c>
      <c r="R90" s="452">
        <f t="shared" si="31"/>
        <v>-0.13</v>
      </c>
    </row>
    <row r="91" spans="1:28" s="3" customFormat="1" ht="16.5" customHeight="1" x14ac:dyDescent="0.2">
      <c r="A91" s="765" t="s">
        <v>417</v>
      </c>
      <c r="B91" s="727" t="s">
        <v>92</v>
      </c>
      <c r="D91" s="465" t="s">
        <v>50</v>
      </c>
      <c r="E91" s="419">
        <v>0.27300000000000002</v>
      </c>
      <c r="F91" s="419">
        <v>0.27300000000000002</v>
      </c>
      <c r="G91" s="419">
        <v>0.27300000000000002</v>
      </c>
      <c r="H91" s="83"/>
      <c r="I91" s="464">
        <v>217</v>
      </c>
      <c r="J91" s="406" t="str">
        <f>CONCATENATE(VLOOKUP($I91, '[2]Commissioner Splits'!$A$4:$C$351, 2, FALSE), "     ", VLOOKUP($I91, '[2]Commissioner Splits'!$A$4:$C$351, 3, FALSE))</f>
        <v>IPM     Eating Disorders</v>
      </c>
      <c r="K91" s="452">
        <f>VLOOKUP($I91, 'Commissioner Splits'!$A$4:$J$351, 5, FALSE)*E91</f>
        <v>3.4125000000000003E-2</v>
      </c>
      <c r="L91" s="380">
        <f>VLOOKUP($I91, 'Commissioner Splits'!$A$4:$J$351, 7, FALSE)*E91</f>
        <v>4.7447286012526096E-2</v>
      </c>
      <c r="M91" s="380">
        <f>VLOOKUP($I91, 'Commissioner Splits'!$A$4:$J$351, 10, FALSE)*E91</f>
        <v>2.4364822546972861E-2</v>
      </c>
      <c r="N91" s="380">
        <f>VLOOKUP($I91, 'Commissioner Splits'!$A$4:$J$351, 4, FALSE)*E91</f>
        <v>8.4849425887265142E-2</v>
      </c>
      <c r="O91" s="380">
        <f>VLOOKUP($I91, 'Commissioner Splits'!$A$4:$J$351, 6, FALSE)*E91</f>
        <v>6.1553235908141969E-2</v>
      </c>
      <c r="P91" s="380">
        <f>VLOOKUP($I91, 'Commissioner Splits'!$A$4:$J$351, 8, FALSE)*E91</f>
        <v>1.2752348643006265E-2</v>
      </c>
      <c r="Q91" s="380">
        <f>VLOOKUP($I91, 'Commissioner Splits'!$A$4:$J$351,9, FALSE)*E91</f>
        <v>7.9078810020876827E-3</v>
      </c>
      <c r="R91" s="452">
        <f t="shared" ref="R91:R119" si="33">SUM(K91:Q91)</f>
        <v>0.27300000000000002</v>
      </c>
      <c r="T91" s="4"/>
      <c r="U91" s="4"/>
      <c r="V91" s="4"/>
      <c r="W91" s="4"/>
      <c r="X91" s="4"/>
      <c r="Y91" s="4"/>
      <c r="Z91" s="4"/>
      <c r="AA91" s="4"/>
      <c r="AB91" s="4"/>
    </row>
    <row r="92" spans="1:28" s="3" customFormat="1" ht="16.5" customHeight="1" x14ac:dyDescent="0.2">
      <c r="A92" s="765" t="s">
        <v>417</v>
      </c>
      <c r="B92" s="727" t="s">
        <v>93</v>
      </c>
      <c r="D92" s="465" t="s">
        <v>50</v>
      </c>
      <c r="E92" s="419">
        <v>0.57099999999999995</v>
      </c>
      <c r="F92" s="419">
        <v>0.57099999999999995</v>
      </c>
      <c r="G92" s="419">
        <v>0.57099999999999995</v>
      </c>
      <c r="H92" s="83"/>
      <c r="I92" s="464">
        <v>220</v>
      </c>
      <c r="J92" s="406" t="str">
        <f>CONCATENATE(VLOOKUP($I92, '[2]Commissioner Splits'!$A$4:$C$351, 2, FALSE), "     ", VLOOKUP($I92, '[2]Commissioner Splits'!$A$4:$C$351, 3, FALSE))</f>
        <v>IPM     FACTS OOA - All-Wales</v>
      </c>
      <c r="K92" s="452">
        <f>VLOOKUP($I92, 'Commissioner Splits'!$A$4:$J$351, 5, FALSE)*E92</f>
        <v>0.14089073806078148</v>
      </c>
      <c r="L92" s="380">
        <f>VLOOKUP($I92, 'Commissioner Splits'!$A$4:$J$351, 7, FALSE)*E92</f>
        <v>0</v>
      </c>
      <c r="M92" s="380">
        <f>VLOOKUP($I92, 'Commissioner Splits'!$A$4:$J$351, 10, FALSE)*E92</f>
        <v>0.12725615050651229</v>
      </c>
      <c r="N92" s="380">
        <f>VLOOKUP($I92, 'Commissioner Splits'!$A$4:$J$351, 4, FALSE)*E92</f>
        <v>0</v>
      </c>
      <c r="O92" s="380">
        <f>VLOOKUP($I92, 'Commissioner Splits'!$A$4:$J$351, 6, FALSE)*E92</f>
        <v>0.30285311143270621</v>
      </c>
      <c r="P92" s="380">
        <f>VLOOKUP($I92, 'Commissioner Splits'!$A$4:$J$351, 8, FALSE)*E92</f>
        <v>0</v>
      </c>
      <c r="Q92" s="380">
        <f>VLOOKUP($I92, 'Commissioner Splits'!$A$4:$J$351,9, FALSE)*E92</f>
        <v>0</v>
      </c>
      <c r="R92" s="452">
        <f t="shared" si="33"/>
        <v>0.57099999999999995</v>
      </c>
    </row>
    <row r="93" spans="1:28" s="3" customFormat="1" ht="16.5" customHeight="1" x14ac:dyDescent="0.2">
      <c r="A93" s="765" t="s">
        <v>417</v>
      </c>
      <c r="B93" s="728" t="s">
        <v>94</v>
      </c>
      <c r="C93" s="23"/>
      <c r="D93" s="465" t="s">
        <v>50</v>
      </c>
      <c r="E93" s="419">
        <v>2.0089999999999999</v>
      </c>
      <c r="F93" s="419">
        <v>2.0089999999999999</v>
      </c>
      <c r="G93" s="419">
        <v>2.0089999999999999</v>
      </c>
      <c r="H93" s="83"/>
      <c r="I93" s="464">
        <v>210</v>
      </c>
      <c r="J93" s="406" t="str">
        <f>CONCATENATE(VLOOKUP($I93, '[2]Commissioner Splits'!$A$4:$C$351, 2, FALSE), "     ", VLOOKUP($I93, '[2]Commissioner Splits'!$A$4:$C$351, 3, FALSE))</f>
        <v>IPM     Forensic Mental Health</v>
      </c>
      <c r="K93" s="452">
        <f>VLOOKUP($I93, 'Commissioner Splits'!$A$4:$J$351, 5, FALSE)*E93</f>
        <v>0.46363515415120887</v>
      </c>
      <c r="L93" s="380">
        <f>VLOOKUP($I93, 'Commissioner Splits'!$A$4:$J$351, 7, FALSE)*E93</f>
        <v>0.21605466717837191</v>
      </c>
      <c r="M93" s="380">
        <f>VLOOKUP($I93, 'Commissioner Splits'!$A$4:$J$351, 10, FALSE)*E93</f>
        <v>0.5460477591573919</v>
      </c>
      <c r="N93" s="380">
        <f>VLOOKUP($I93, 'Commissioner Splits'!$A$4:$J$351, 4, FALSE)*E93</f>
        <v>0.39844181484798086</v>
      </c>
      <c r="O93" s="380">
        <f>VLOOKUP($I93, 'Commissioner Splits'!$A$4:$J$351, 6, FALSE)*E93</f>
        <v>0.17956010404673575</v>
      </c>
      <c r="P93" s="380">
        <f>VLOOKUP($I93, 'Commissioner Splits'!$A$4:$J$351, 8, FALSE)*E93</f>
        <v>9.9032194789134789E-2</v>
      </c>
      <c r="Q93" s="380">
        <f>VLOOKUP($I93, 'Commissioner Splits'!$A$4:$J$351,9, FALSE)*E93</f>
        <v>0.10622830582917572</v>
      </c>
      <c r="R93" s="452">
        <f t="shared" si="33"/>
        <v>2.0089999999999999</v>
      </c>
    </row>
    <row r="94" spans="1:28" s="3" customFormat="1" ht="16.5" customHeight="1" x14ac:dyDescent="0.2">
      <c r="A94" s="765" t="s">
        <v>417</v>
      </c>
      <c r="B94" s="727" t="s">
        <v>95</v>
      </c>
      <c r="D94" s="465" t="s">
        <v>50</v>
      </c>
      <c r="E94" s="419">
        <v>-0.09</v>
      </c>
      <c r="F94" s="419">
        <v>-0.09</v>
      </c>
      <c r="G94" s="419">
        <v>-0.09</v>
      </c>
      <c r="H94" s="83"/>
      <c r="I94" s="464">
        <v>213</v>
      </c>
      <c r="J94" s="406" t="str">
        <f>CONCATENATE(VLOOKUP($I94, '[2]Commissioner Splits'!$A$4:$C$351, 2, FALSE), "     ", VLOOKUP($I94, '[2]Commissioner Splits'!$A$4:$C$351, 3, FALSE))</f>
        <v>IPM     Gender</v>
      </c>
      <c r="K94" s="452">
        <f>VLOOKUP($I94, 'Commissioner Splits'!$A$4:$J$351, 5, FALSE)*E94</f>
        <v>-1.6996044610218326E-2</v>
      </c>
      <c r="L94" s="380">
        <f>VLOOKUP($I94, 'Commissioner Splits'!$A$4:$J$351, 7, FALSE)*E94</f>
        <v>-9.7990507024847216E-3</v>
      </c>
      <c r="M94" s="380">
        <f>VLOOKUP($I94, 'Commissioner Splits'!$A$4:$J$351, 10, FALSE)*E94</f>
        <v>-1.8355044146127836E-2</v>
      </c>
      <c r="N94" s="380">
        <f>VLOOKUP($I94, 'Commissioner Splits'!$A$4:$J$351, 4, FALSE)*E94</f>
        <v>-2.4865508061048182E-2</v>
      </c>
      <c r="O94" s="380">
        <f>VLOOKUP($I94, 'Commissioner Splits'!$A$4:$J$351, 6, FALSE)*E94</f>
        <v>-2.895464265421953E-3</v>
      </c>
      <c r="P94" s="380">
        <f>VLOOKUP($I94, 'Commissioner Splits'!$A$4:$J$351, 8, FALSE)*E94</f>
        <v>-1.2770778081977244E-2</v>
      </c>
      <c r="Q94" s="380">
        <f>VLOOKUP($I94, 'Commissioner Splits'!$A$4:$J$351,9, FALSE)*E94</f>
        <v>-4.3181101327217164E-3</v>
      </c>
      <c r="R94" s="452">
        <f t="shared" si="33"/>
        <v>-8.9999999999999983E-2</v>
      </c>
    </row>
    <row r="95" spans="1:28" s="3" customFormat="1" ht="16.5" customHeight="1" x14ac:dyDescent="0.2">
      <c r="A95" s="765" t="s">
        <v>417</v>
      </c>
      <c r="B95" s="727" t="s">
        <v>97</v>
      </c>
      <c r="C95" s="23"/>
      <c r="D95" s="465" t="s">
        <v>47</v>
      </c>
      <c r="E95" s="419">
        <v>0.122</v>
      </c>
      <c r="F95" s="419">
        <v>0.122</v>
      </c>
      <c r="G95" s="419">
        <v>0.122</v>
      </c>
      <c r="H95" s="83"/>
      <c r="I95" s="464">
        <v>324</v>
      </c>
      <c r="J95" s="406" t="s">
        <v>581</v>
      </c>
      <c r="K95" s="452">
        <f>VLOOKUP($I95, 'Commissioner Splits'!$A$4:$J$351, 5, FALSE)*E95</f>
        <v>2.8155046693104771E-2</v>
      </c>
      <c r="L95" s="380">
        <f>VLOOKUP($I95, 'Commissioner Splits'!$A$4:$J$351, 7, FALSE)*E95</f>
        <v>1.3120293377681122E-2</v>
      </c>
      <c r="M95" s="380">
        <f>VLOOKUP($I95, 'Commissioner Splits'!$A$4:$J$351, 10, FALSE)*E95</f>
        <v>3.3159694682529522E-2</v>
      </c>
      <c r="N95" s="380">
        <f>VLOOKUP($I95, 'Commissioner Splits'!$A$4:$J$351, 4, FALSE)*E95</f>
        <v>2.4196068397936119E-2</v>
      </c>
      <c r="O95" s="380">
        <f>VLOOKUP($I95, 'Commissioner Splits'!$A$4:$J$351, 6, FALSE)*E95</f>
        <v>1.0904097906272654E-2</v>
      </c>
      <c r="P95" s="380">
        <f>VLOOKUP($I95, 'Commissioner Splits'!$A$4:$J$351, 8, FALSE)*E95</f>
        <v>6.0139013261694598E-3</v>
      </c>
      <c r="Q95" s="380">
        <f>VLOOKUP($I95, 'Commissioner Splits'!$A$4:$J$351,9, FALSE)*E95</f>
        <v>6.4508976163063407E-3</v>
      </c>
      <c r="R95" s="452">
        <f t="shared" si="33"/>
        <v>0.12199999999999998</v>
      </c>
      <c r="T95" s="4"/>
      <c r="U95" s="4"/>
      <c r="V95" s="4"/>
      <c r="W95" s="4"/>
      <c r="X95" s="4"/>
      <c r="Y95" s="4"/>
      <c r="Z95" s="4"/>
      <c r="AA95" s="4"/>
      <c r="AB95" s="4"/>
    </row>
    <row r="96" spans="1:28" s="3" customFormat="1" ht="16.5" customHeight="1" x14ac:dyDescent="0.2">
      <c r="A96" s="765" t="s">
        <v>417</v>
      </c>
      <c r="B96" s="727" t="s">
        <v>332</v>
      </c>
      <c r="D96" s="465" t="s">
        <v>50</v>
      </c>
      <c r="E96" s="419">
        <v>0.111</v>
      </c>
      <c r="F96" s="419">
        <v>0.111</v>
      </c>
      <c r="G96" s="419">
        <v>0.111</v>
      </c>
      <c r="H96" s="83"/>
      <c r="I96" s="464">
        <v>193</v>
      </c>
      <c r="J96" s="406" t="str">
        <f>CONCATENATE(VLOOKUP($I96, '[2]Commissioner Splits'!$A$4:$C$351, 2, FALSE), "     ", VLOOKUP($I96, '[2]Commissioner Splits'!$A$4:$C$351, 3, FALSE))</f>
        <v>Non Welsh SLAs     MH High Secure - Ashworth</v>
      </c>
      <c r="K96" s="452">
        <f>VLOOKUP($I96, 'Commissioner Splits'!$A$4:$J$351, 5, FALSE)*E96</f>
        <v>1.0307336286072277E-2</v>
      </c>
      <c r="L96" s="380">
        <f>VLOOKUP($I96, 'Commissioner Splits'!$A$4:$J$351, 7, FALSE)*E96</f>
        <v>2.5962382748391997E-2</v>
      </c>
      <c r="M96" s="380">
        <f>VLOOKUP($I96, 'Commissioner Splits'!$A$4:$J$351, 10, FALSE)*E96</f>
        <v>2.8521373791751684E-2</v>
      </c>
      <c r="N96" s="380">
        <f>VLOOKUP($I96, 'Commissioner Splits'!$A$4:$J$351, 4, FALSE)*E96</f>
        <v>3.0876644236996969E-2</v>
      </c>
      <c r="O96" s="380">
        <f>VLOOKUP($I96, 'Commissioner Splits'!$A$4:$J$351, 6, FALSE)*E96</f>
        <v>2.8402696352016628E-3</v>
      </c>
      <c r="P96" s="380">
        <f>VLOOKUP($I96, 'Commissioner Splits'!$A$4:$J$351, 8, FALSE)*E96</f>
        <v>7.887645129291139E-3</v>
      </c>
      <c r="Q96" s="380">
        <f>VLOOKUP($I96, 'Commissioner Splits'!$A$4:$J$351,9, FALSE)*E96</f>
        <v>4.604348172294272E-3</v>
      </c>
      <c r="R96" s="452">
        <f t="shared" si="33"/>
        <v>0.11099999999999999</v>
      </c>
    </row>
    <row r="97" spans="1:28" s="3" customFormat="1" ht="16.5" customHeight="1" x14ac:dyDescent="0.2">
      <c r="A97" s="765" t="s">
        <v>417</v>
      </c>
      <c r="B97" s="727" t="s">
        <v>331</v>
      </c>
      <c r="C97" s="53"/>
      <c r="D97" s="465" t="s">
        <v>50</v>
      </c>
      <c r="E97" s="419">
        <v>0.28840000000000021</v>
      </c>
      <c r="F97" s="419">
        <v>0.28840000000000021</v>
      </c>
      <c r="G97" s="419">
        <v>0.28840000000000021</v>
      </c>
      <c r="H97" s="83"/>
      <c r="I97" s="464">
        <v>192</v>
      </c>
      <c r="J97" s="406" t="str">
        <f>CONCATENATE(VLOOKUP($I97, '[2]Commissioner Splits'!$A$4:$C$351, 2, FALSE), "     ", VLOOKUP($I97, '[2]Commissioner Splits'!$A$4:$C$351, 3, FALSE))</f>
        <v>Non Welsh SLAs     MH High Secure - Rampton</v>
      </c>
      <c r="K97" s="452">
        <f>VLOOKUP($I97, 'Commissioner Splits'!$A$4:$J$351, 5, FALSE)*E97</f>
        <v>2.6780502566695917E-2</v>
      </c>
      <c r="L97" s="380">
        <f>VLOOKUP($I97, 'Commissioner Splits'!$A$4:$J$351, 7, FALSE)*E97</f>
        <v>6.7455416077804128E-2</v>
      </c>
      <c r="M97" s="380">
        <f>VLOOKUP($I97, 'Commissioner Splits'!$A$4:$J$351, 10, FALSE)*E97</f>
        <v>7.4104181995866589E-2</v>
      </c>
      <c r="N97" s="380">
        <f>VLOOKUP($I97, 'Commissioner Splits'!$A$4:$J$351, 4, FALSE)*E97</f>
        <v>8.0223641422972364E-2</v>
      </c>
      <c r="O97" s="380">
        <f>VLOOKUP($I97, 'Commissioner Splits'!$A$4:$J$351, 6, FALSE)*E97</f>
        <v>7.3795834485780188E-3</v>
      </c>
      <c r="P97" s="380">
        <f>VLOOKUP($I97, 'Commissioner Splits'!$A$4:$J$351, 8, FALSE)*E97</f>
        <v>2.0493665362951045E-2</v>
      </c>
      <c r="Q97" s="380">
        <f>VLOOKUP($I97, 'Commissioner Splits'!$A$4:$J$351,9, FALSE)*E97</f>
        <v>1.1963009125132153E-2</v>
      </c>
      <c r="R97" s="452">
        <f t="shared" si="33"/>
        <v>0.28840000000000021</v>
      </c>
    </row>
    <row r="98" spans="1:28" s="3" customFormat="1" ht="16.5" customHeight="1" x14ac:dyDescent="0.2">
      <c r="A98" s="765" t="s">
        <v>417</v>
      </c>
      <c r="B98" s="727" t="s">
        <v>343</v>
      </c>
      <c r="C98" s="53"/>
      <c r="D98" s="465" t="s">
        <v>47</v>
      </c>
      <c r="E98" s="419">
        <v>4.3999999999999997E-2</v>
      </c>
      <c r="F98" s="419">
        <v>4.3999999999999997E-2</v>
      </c>
      <c r="G98" s="419">
        <v>4.3999999999999997E-2</v>
      </c>
      <c r="H98" s="83"/>
      <c r="I98" s="464">
        <v>216</v>
      </c>
      <c r="J98" s="406" t="str">
        <f>CONCATENATE(VLOOKUP($I98, '[2]Commissioner Splits'!$A$4:$C$351, 2, FALSE), "     ", VLOOKUP($I98, '[2]Commissioner Splits'!$A$4:$C$351, 3, FALSE))</f>
        <v>IPM     Other MH</v>
      </c>
      <c r="K98" s="452">
        <f>VLOOKUP($I98, 'Commissioner Splits'!$A$4:$J$351, 5, FALSE)*E98</f>
        <v>7.4623999999999992E-3</v>
      </c>
      <c r="L98" s="380">
        <f>VLOOKUP($I98, 'Commissioner Splits'!$A$4:$J$351, 7, FALSE)*E98</f>
        <v>8.2543999999999985E-3</v>
      </c>
      <c r="M98" s="380">
        <f>VLOOKUP($I98, 'Commissioner Splits'!$A$4:$J$351, 10, FALSE)*E98</f>
        <v>9.8603999999999983E-3</v>
      </c>
      <c r="N98" s="380">
        <f>VLOOKUP($I98, 'Commissioner Splits'!$A$4:$J$351, 4, FALSE)*E98</f>
        <v>6.8815999999999999E-3</v>
      </c>
      <c r="O98" s="380">
        <f>VLOOKUP($I98, 'Commissioner Splits'!$A$4:$J$351, 6, FALSE)*E98</f>
        <v>4.2151999999999997E-3</v>
      </c>
      <c r="P98" s="380">
        <f>VLOOKUP($I98, 'Commissioner Splits'!$A$4:$J$351, 8, FALSE)*E98</f>
        <v>5.4428000000000002E-3</v>
      </c>
      <c r="Q98" s="380">
        <f>VLOOKUP($I98, 'Commissioner Splits'!$A$4:$J$351,9, FALSE)*E98</f>
        <v>1.8831999999999998E-3</v>
      </c>
      <c r="R98" s="452">
        <f t="shared" si="33"/>
        <v>4.3999999999999997E-2</v>
      </c>
      <c r="T98" s="23"/>
      <c r="U98" s="23"/>
      <c r="V98" s="23"/>
      <c r="W98" s="23"/>
      <c r="X98" s="23"/>
      <c r="Y98" s="23"/>
      <c r="Z98" s="23"/>
      <c r="AA98" s="23"/>
      <c r="AB98" s="23"/>
    </row>
    <row r="99" spans="1:28" s="3" customFormat="1" ht="16.5" customHeight="1" x14ac:dyDescent="0.2">
      <c r="A99" s="765" t="s">
        <v>180</v>
      </c>
      <c r="B99" s="727" t="s">
        <v>143</v>
      </c>
      <c r="C99" s="53"/>
      <c r="D99" s="465" t="s">
        <v>47</v>
      </c>
      <c r="E99" s="419">
        <v>0.12367824999999971</v>
      </c>
      <c r="F99" s="419">
        <v>0.12367824999999971</v>
      </c>
      <c r="G99" s="419">
        <v>0.12367824999999971</v>
      </c>
      <c r="H99" s="83"/>
      <c r="I99" s="464">
        <v>189</v>
      </c>
      <c r="J99" s="406" t="str">
        <f>CONCATENATE(VLOOKUP($I99, '[2]Commissioner Splits'!$A$4:$C$351, 2, FALSE), "     ", VLOOKUP($I99, '[2]Commissioner Splits'!$A$4:$C$351, 3, FALSE))</f>
        <v>Non Welsh SLAs     PETIC</v>
      </c>
      <c r="K99" s="452">
        <f>VLOOKUP($I99, 'Commissioner Splits'!$A$4:$J$351, 5, FALSE)*E99</f>
        <v>2.8832966257668641E-2</v>
      </c>
      <c r="L99" s="380">
        <f>VLOOKUP($I99, 'Commissioner Splits'!$A$4:$J$351, 7, FALSE)*E99</f>
        <v>2.7665639688532265E-2</v>
      </c>
      <c r="M99" s="380">
        <f>VLOOKUP($I99, 'Commissioner Splits'!$A$4:$J$351, 10, FALSE)*E99</f>
        <v>1.7509898537045737E-4</v>
      </c>
      <c r="N99" s="380">
        <f>VLOOKUP($I99, 'Commissioner Splits'!$A$4:$J$351, 4, FALSE)*E99</f>
        <v>2.1712274185936711E-2</v>
      </c>
      <c r="O99" s="380">
        <f>VLOOKUP($I99, 'Commissioner Splits'!$A$4:$J$351, 6, FALSE)*E99</f>
        <v>1.9027423076923032E-2</v>
      </c>
      <c r="P99" s="380">
        <f>VLOOKUP($I99, 'Commissioner Splits'!$A$4:$J$351, 8, FALSE)*E99</f>
        <v>1.9727819018404862E-2</v>
      </c>
      <c r="Q99" s="380">
        <f>VLOOKUP($I99, 'Commissioner Splits'!$A$4:$J$351,9, FALSE)*E99</f>
        <v>6.5370287871637416E-3</v>
      </c>
      <c r="R99" s="452">
        <f t="shared" si="33"/>
        <v>0.1236782499999997</v>
      </c>
    </row>
    <row r="100" spans="1:28" s="3" customFormat="1" ht="16.5" customHeight="1" thickBot="1" x14ac:dyDescent="0.25">
      <c r="A100" s="765" t="s">
        <v>418</v>
      </c>
      <c r="B100" s="727" t="s">
        <v>118</v>
      </c>
      <c r="C100" s="53"/>
      <c r="D100" s="465" t="s">
        <v>50</v>
      </c>
      <c r="E100" s="419">
        <v>3.5000000000000003E-2</v>
      </c>
      <c r="F100" s="419">
        <v>3.5000000000000003E-2</v>
      </c>
      <c r="G100" s="419">
        <v>3.5000000000000003E-2</v>
      </c>
      <c r="H100" s="83"/>
      <c r="I100" s="464">
        <v>263</v>
      </c>
      <c r="J100" s="406" t="str">
        <f>CONCATENATE(VLOOKUP($I100, '[2]Commissioner Splits'!$A$4:$C$351, 2, FALSE), "     ", VLOOKUP($I100, '[2]Commissioner Splits'!$A$4:$C$351, 3, FALSE))</f>
        <v>15/16 Developments     68-Gallium DOTA scanning</v>
      </c>
      <c r="K100" s="452">
        <f>VLOOKUP($I100, 'Commissioner Splits'!$A$4:$J$351, 5, FALSE)*E100</f>
        <v>6.6166883963494141E-3</v>
      </c>
      <c r="L100" s="380">
        <f>VLOOKUP($I100, 'Commissioner Splits'!$A$4:$J$351, 7, FALSE)*E100</f>
        <v>9.8109517601043042E-3</v>
      </c>
      <c r="M100" s="380">
        <f>VLOOKUP($I100, 'Commissioner Splits'!$A$4:$J$351, 10, FALSE)*E100</f>
        <v>1.8252933507170797E-4</v>
      </c>
      <c r="N100" s="380">
        <f>VLOOKUP($I100, 'Commissioner Splits'!$A$4:$J$351, 4, FALSE)*E100</f>
        <v>6.5938722294654499E-3</v>
      </c>
      <c r="O100" s="380">
        <f>VLOOKUP($I100, 'Commissioner Splits'!$A$4:$J$351, 6, FALSE)*E100</f>
        <v>4.9739243807040423E-3</v>
      </c>
      <c r="P100" s="380">
        <f>VLOOKUP($I100, 'Commissioner Splits'!$A$4:$J$351, 8, FALSE)*E100</f>
        <v>5.5899608865710559E-3</v>
      </c>
      <c r="Q100" s="380">
        <f>VLOOKUP($I100, 'Commissioner Splits'!$A$4:$J$351,9, FALSE)*E100</f>
        <v>1.2320730117340287E-3</v>
      </c>
      <c r="R100" s="452">
        <f t="shared" si="33"/>
        <v>3.5000000000000003E-2</v>
      </c>
      <c r="T100" s="4"/>
      <c r="U100" s="4"/>
      <c r="V100" s="4"/>
      <c r="W100" s="4"/>
      <c r="X100" s="4"/>
      <c r="Y100" s="4"/>
      <c r="Z100" s="4"/>
      <c r="AA100" s="4"/>
      <c r="AB100" s="4"/>
    </row>
    <row r="101" spans="1:28" s="3" customFormat="1" ht="16.5" customHeight="1" thickBot="1" x14ac:dyDescent="0.25">
      <c r="A101" s="765" t="s">
        <v>418</v>
      </c>
      <c r="B101" s="727" t="s">
        <v>78</v>
      </c>
      <c r="C101" s="726"/>
      <c r="D101" s="465" t="s">
        <v>50</v>
      </c>
      <c r="E101" s="419">
        <v>4.5999999999999999E-2</v>
      </c>
      <c r="F101" s="419">
        <v>4.5999999999999999E-2</v>
      </c>
      <c r="G101" s="419">
        <v>4.5999999999999999E-2</v>
      </c>
      <c r="H101" s="83"/>
      <c r="I101" s="464">
        <v>274</v>
      </c>
      <c r="J101" s="406" t="str">
        <f>CONCATENATE(VLOOKUP($I101, '[2]Commissioner Splits'!$A$4:$C$351, 2, FALSE), "     ", VLOOKUP($I101, '[2]Commissioner Splits'!$A$4:$C$351, 3, FALSE))</f>
        <v>16/17 Developments     Elosulfase Alfa - VIMZIM ERT (Ministerial ratification)</v>
      </c>
      <c r="K101" s="452">
        <f>VLOOKUP($I101, 'Commissioner Splits'!$A$4:$J$351, 5, FALSE)*E101</f>
        <v>7.659E-3</v>
      </c>
      <c r="L101" s="380">
        <f>VLOOKUP($I101, 'Commissioner Splits'!$A$4:$J$351, 7, FALSE)*E101</f>
        <v>8.6479999999999994E-3</v>
      </c>
      <c r="M101" s="380">
        <f>VLOOKUP($I101, 'Commissioner Splits'!$A$4:$J$351, 10, FALSE)*E101</f>
        <v>1.04972E-2</v>
      </c>
      <c r="N101" s="380">
        <f>VLOOKUP($I101, 'Commissioner Splits'!$A$4:$J$351, 4, FALSE)*E101</f>
        <v>6.8816000000000007E-3</v>
      </c>
      <c r="O101" s="380">
        <f>VLOOKUP($I101, 'Commissioner Splits'!$A$4:$J$351, 6, FALSE)*E101</f>
        <v>4.4527999999999998E-3</v>
      </c>
      <c r="P101" s="380">
        <f>VLOOKUP($I101, 'Commissioner Splits'!$A$4:$J$351, 8, FALSE)*E101</f>
        <v>5.8144000000000008E-3</v>
      </c>
      <c r="Q101" s="380">
        <f>VLOOKUP($I101, 'Commissioner Splits'!$A$4:$J$351,9, FALSE)*E101</f>
        <v>2.0469999999999998E-3</v>
      </c>
      <c r="R101" s="452">
        <f t="shared" si="33"/>
        <v>4.6000000000000006E-2</v>
      </c>
    </row>
    <row r="102" spans="1:28" s="3" customFormat="1" ht="16.5" customHeight="1" x14ac:dyDescent="0.2">
      <c r="A102" s="765" t="s">
        <v>418</v>
      </c>
      <c r="B102" s="727" t="s">
        <v>132</v>
      </c>
      <c r="D102" s="465" t="s">
        <v>50</v>
      </c>
      <c r="E102" s="419">
        <v>-0.73699999999999999</v>
      </c>
      <c r="F102" s="419">
        <v>-0.73699999999999999</v>
      </c>
      <c r="G102" s="419">
        <v>-0.73699999999999999</v>
      </c>
      <c r="H102" s="83"/>
      <c r="I102" s="464">
        <v>283</v>
      </c>
      <c r="J102" s="406" t="str">
        <f>CONCATENATE(VLOOKUP($I102, '[2]Commissioner Splits'!$A$4:$C$351, 2, FALSE), "     ", VLOOKUP($I102, '[2]Commissioner Splits'!$A$4:$C$351, 3, FALSE))</f>
        <v>16/17 Developments     BAHA &amp; Cochlears growth South Wales</v>
      </c>
      <c r="K102" s="452">
        <f>VLOOKUP($I102, 'Commissioner Splits'!$A$4:$J$351, 5, FALSE)*E102</f>
        <v>-1.0380281690140845E-2</v>
      </c>
      <c r="L102" s="380">
        <f>VLOOKUP($I102, 'Commissioner Splits'!$A$4:$J$351, 7, FALSE)*E102</f>
        <v>-0.22836619718309856</v>
      </c>
      <c r="M102" s="380">
        <f>VLOOKUP($I102, 'Commissioner Splits'!$A$4:$J$351, 10, FALSE)*E102</f>
        <v>0</v>
      </c>
      <c r="N102" s="380">
        <f>VLOOKUP($I102, 'Commissioner Splits'!$A$4:$J$351, 4, FALSE)*E102</f>
        <v>-0.30933239436619719</v>
      </c>
      <c r="O102" s="380">
        <f>VLOOKUP($I102, 'Commissioner Splits'!$A$4:$J$351, 6, FALSE)*E102</f>
        <v>-8.5118309859154931E-2</v>
      </c>
      <c r="P102" s="380">
        <f>VLOOKUP($I102, 'Commissioner Splits'!$A$4:$J$351, 8, FALSE)*E102</f>
        <v>-6.6433802816901408E-2</v>
      </c>
      <c r="Q102" s="380">
        <f>VLOOKUP($I102, 'Commissioner Splits'!$A$4:$J$351,9, FALSE)*E102</f>
        <v>-3.7369014084507046E-2</v>
      </c>
      <c r="R102" s="452">
        <f t="shared" si="33"/>
        <v>-0.73699999999999988</v>
      </c>
    </row>
    <row r="103" spans="1:28" s="3" customFormat="1" ht="16.5" customHeight="1" x14ac:dyDescent="0.2">
      <c r="A103" s="765" t="s">
        <v>418</v>
      </c>
      <c r="B103" s="727" t="s">
        <v>80</v>
      </c>
      <c r="C103" s="28"/>
      <c r="D103" s="465" t="s">
        <v>50</v>
      </c>
      <c r="E103" s="419">
        <v>0.39053700000000002</v>
      </c>
      <c r="F103" s="419">
        <v>0.39053700000000002</v>
      </c>
      <c r="G103" s="419">
        <v>0.39053700000000002</v>
      </c>
      <c r="H103" s="83"/>
      <c r="I103" s="464">
        <v>271</v>
      </c>
      <c r="J103" s="406" t="str">
        <f>CONCATENATE(VLOOKUP($I103, '[2]Commissioner Splits'!$A$4:$C$351, 2, FALSE), "     ", VLOOKUP($I103, '[2]Commissioner Splits'!$A$4:$C$351, 3, FALSE))</f>
        <v>16/17 Developments     Cystic fibrosis - Ivacaftor NONG551D (AWMSG)</v>
      </c>
      <c r="K103" s="452">
        <f>VLOOKUP($I103, 'Commissioner Splits'!$A$4:$J$351, 5, FALSE)*E103</f>
        <v>6.5024410500000004E-2</v>
      </c>
      <c r="L103" s="380">
        <f>VLOOKUP($I103, 'Commissioner Splits'!$A$4:$J$351, 7, FALSE)*E103</f>
        <v>7.3420956000000009E-2</v>
      </c>
      <c r="M103" s="380">
        <f>VLOOKUP($I103, 'Commissioner Splits'!$A$4:$J$351, 10, FALSE)*E103</f>
        <v>8.9120543400000002E-2</v>
      </c>
      <c r="N103" s="380">
        <f>VLOOKUP($I103, 'Commissioner Splits'!$A$4:$J$351, 4, FALSE)*E103</f>
        <v>5.842433520000001E-2</v>
      </c>
      <c r="O103" s="380">
        <f>VLOOKUP($I103, 'Commissioner Splits'!$A$4:$J$351, 6, FALSE)*E103</f>
        <v>3.7803981600000001E-2</v>
      </c>
      <c r="P103" s="380">
        <f>VLOOKUP($I103, 'Commissioner Splits'!$A$4:$J$351, 8, FALSE)*E103</f>
        <v>4.9363876800000005E-2</v>
      </c>
      <c r="Q103" s="380">
        <f>VLOOKUP($I103, 'Commissioner Splits'!$A$4:$J$351,9, FALSE)*E103</f>
        <v>1.7378896500000001E-2</v>
      </c>
      <c r="R103" s="452">
        <f t="shared" si="33"/>
        <v>0.39053700000000002</v>
      </c>
    </row>
    <row r="104" spans="1:28" ht="16.5" customHeight="1" x14ac:dyDescent="0.2">
      <c r="A104" s="765" t="s">
        <v>418</v>
      </c>
      <c r="B104" s="727" t="s">
        <v>419</v>
      </c>
      <c r="C104" s="422"/>
      <c r="D104" s="468" t="s">
        <v>43</v>
      </c>
      <c r="E104" s="419">
        <v>9.5000000000000001E-2</v>
      </c>
      <c r="F104" s="419">
        <v>9.5000000000000001E-2</v>
      </c>
      <c r="G104" s="419">
        <v>9.5000000000000001E-2</v>
      </c>
      <c r="H104" s="83"/>
      <c r="I104" s="464">
        <v>274</v>
      </c>
      <c r="J104" s="406" t="str">
        <f>CONCATENATE(VLOOKUP($I104, '[2]Commissioner Splits'!$A$4:$C$351, 2, FALSE), "     ", VLOOKUP($I104, '[2]Commissioner Splits'!$A$4:$C$351, 3, FALSE))</f>
        <v>16/17 Developments     Elosulfase Alfa - VIMZIM ERT (Ministerial ratification)</v>
      </c>
      <c r="K104" s="452">
        <f>VLOOKUP($I104, 'Commissioner Splits'!$A$4:$J$351, 5, FALSE)*E104</f>
        <v>1.5817500000000002E-2</v>
      </c>
      <c r="L104" s="380">
        <f>VLOOKUP($I104, 'Commissioner Splits'!$A$4:$J$351, 7, FALSE)*E104</f>
        <v>1.7860000000000001E-2</v>
      </c>
      <c r="M104" s="380">
        <f>VLOOKUP($I104, 'Commissioner Splits'!$A$4:$J$351, 10, FALSE)*E104</f>
        <v>2.1679E-2</v>
      </c>
      <c r="N104" s="380">
        <f>VLOOKUP($I104, 'Commissioner Splits'!$A$4:$J$351, 4, FALSE)*E104</f>
        <v>1.4212000000000001E-2</v>
      </c>
      <c r="O104" s="380">
        <f>VLOOKUP($I104, 'Commissioner Splits'!$A$4:$J$351, 6, FALSE)*E104</f>
        <v>9.1959999999999993E-3</v>
      </c>
      <c r="P104" s="380">
        <f>VLOOKUP($I104, 'Commissioner Splits'!$A$4:$J$351, 8, FALSE)*E104</f>
        <v>1.2008000000000001E-2</v>
      </c>
      <c r="Q104" s="380">
        <f>VLOOKUP($I104, 'Commissioner Splits'!$A$4:$J$351,9, FALSE)*E104</f>
        <v>4.2274999999999995E-3</v>
      </c>
      <c r="R104" s="452">
        <f t="shared" si="33"/>
        <v>9.5000000000000001E-2</v>
      </c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23" customFormat="1" ht="16.5" customHeight="1" x14ac:dyDescent="0.2">
      <c r="A105" s="765" t="s">
        <v>418</v>
      </c>
      <c r="B105" s="727" t="s">
        <v>99</v>
      </c>
      <c r="C105" s="4"/>
      <c r="D105" s="468"/>
      <c r="E105" s="419">
        <v>4.7400000000000088E-2</v>
      </c>
      <c r="F105" s="419">
        <v>4.7400000000000088E-2</v>
      </c>
      <c r="G105" s="419">
        <v>4.7400000000000088E-2</v>
      </c>
      <c r="H105" s="83"/>
      <c r="I105" s="464">
        <v>261</v>
      </c>
      <c r="J105" s="406" t="str">
        <f>CONCATENATE(VLOOKUP($I105, '[2]Commissioner Splits'!$A$4:$C$351, 2, FALSE), "     ", VLOOKUP($I105, '[2]Commissioner Splits'!$A$4:$C$351, 3, FALSE))</f>
        <v>Unallocated     Ivacaftor - C&amp;V drugs</v>
      </c>
      <c r="K105" s="452">
        <f>VLOOKUP($I105, 'Commissioner Splits'!$A$4:$J$351, 5, FALSE)*E105</f>
        <v>1.8952990469931024E-2</v>
      </c>
      <c r="L105" s="380">
        <f>VLOOKUP($I105, 'Commissioner Splits'!$A$4:$J$351, 7, FALSE)*E105</f>
        <v>4.7470095300690199E-3</v>
      </c>
      <c r="M105" s="380">
        <f>VLOOKUP($I105, 'Commissioner Splits'!$A$4:$J$351, 10, FALSE)*E105</f>
        <v>0</v>
      </c>
      <c r="N105" s="380">
        <f>VLOOKUP($I105, 'Commissioner Splits'!$A$4:$J$351, 4, FALSE)*E105</f>
        <v>1.8952990469931024E-2</v>
      </c>
      <c r="O105" s="380">
        <f>VLOOKUP($I105, 'Commissioner Splits'!$A$4:$J$351, 6, FALSE)*E105</f>
        <v>4.7470095300690199E-3</v>
      </c>
      <c r="P105" s="380">
        <f>VLOOKUP($I105, 'Commissioner Splits'!$A$4:$J$351, 8, FALSE)*E105</f>
        <v>0</v>
      </c>
      <c r="Q105" s="380">
        <f>VLOOKUP($I105, 'Commissioner Splits'!$A$4:$J$351,9, FALSE)*E105</f>
        <v>0</v>
      </c>
      <c r="R105" s="452">
        <f t="shared" si="33"/>
        <v>4.7400000000000088E-2</v>
      </c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s="23" customFormat="1" ht="16.5" customHeight="1" x14ac:dyDescent="0.2">
      <c r="A106" s="765" t="s">
        <v>418</v>
      </c>
      <c r="B106" s="727" t="s">
        <v>375</v>
      </c>
      <c r="C106" s="4"/>
      <c r="D106" s="468"/>
      <c r="E106" s="419">
        <v>0.10682500000000004</v>
      </c>
      <c r="F106" s="419">
        <v>0.10682500000000004</v>
      </c>
      <c r="G106" s="419">
        <v>0.10682500000000004</v>
      </c>
      <c r="H106" s="83"/>
      <c r="I106" s="464">
        <v>260</v>
      </c>
      <c r="J106" s="406" t="str">
        <f>CONCATENATE(VLOOKUP($I106, '[2]Commissioner Splits'!$A$4:$C$351, 2, FALSE), "     ", VLOOKUP($I106, '[2]Commissioner Splits'!$A$4:$C$351, 3, FALSE))</f>
        <v>Unallocated     Ivacaftor - N Wales drugs</v>
      </c>
      <c r="K106" s="452">
        <f>VLOOKUP($I106, 'Commissioner Splits'!$A$4:$J$351, 5, FALSE)*E106</f>
        <v>0</v>
      </c>
      <c r="L106" s="380">
        <f>VLOOKUP($I106, 'Commissioner Splits'!$A$4:$J$351, 7, FALSE)*E106</f>
        <v>0</v>
      </c>
      <c r="M106" s="380">
        <f>VLOOKUP($I106, 'Commissioner Splits'!$A$4:$J$351, 10, FALSE)*E106</f>
        <v>0.10682500000000004</v>
      </c>
      <c r="N106" s="380">
        <f>VLOOKUP($I106, 'Commissioner Splits'!$A$4:$J$351, 4, FALSE)*E106</f>
        <v>0</v>
      </c>
      <c r="O106" s="380">
        <f>VLOOKUP($I106, 'Commissioner Splits'!$A$4:$J$351, 6, FALSE)*E106</f>
        <v>0</v>
      </c>
      <c r="P106" s="380">
        <f>VLOOKUP($I106, 'Commissioner Splits'!$A$4:$J$351, 8, FALSE)*E106</f>
        <v>0</v>
      </c>
      <c r="Q106" s="380">
        <f>VLOOKUP($I106, 'Commissioner Splits'!$A$4:$J$351,9, FALSE)*E106</f>
        <v>0</v>
      </c>
      <c r="R106" s="452">
        <f t="shared" si="33"/>
        <v>0.10682500000000004</v>
      </c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6.5" customHeight="1" x14ac:dyDescent="0.2">
      <c r="A107" s="765" t="s">
        <v>17</v>
      </c>
      <c r="B107" s="727" t="s">
        <v>100</v>
      </c>
      <c r="C107" s="422"/>
      <c r="D107" s="468"/>
      <c r="E107" s="419">
        <v>-1.7459999999999999E-3</v>
      </c>
      <c r="F107" s="419">
        <v>-1.7459999999999999E-3</v>
      </c>
      <c r="G107" s="419">
        <v>-1.7459999999999999E-3</v>
      </c>
      <c r="H107" s="83"/>
      <c r="I107" s="464">
        <v>258</v>
      </c>
      <c r="J107" s="406" t="str">
        <f>CONCATENATE(VLOOKUP($I107, '[2]Commissioner Splits'!$A$4:$C$351, 2, FALSE), "     ", VLOOKUP($I107, '[2]Commissioner Splits'!$A$4:$C$351, 3, FALSE))</f>
        <v xml:space="preserve">Renal      Renal General </v>
      </c>
      <c r="K107" s="452">
        <f>VLOOKUP($I107, 'Commissioner Splits'!$A$4:$J$351, 5, FALSE)*E107</f>
        <v>-2.90709E-4</v>
      </c>
      <c r="L107" s="380">
        <f>VLOOKUP($I107, 'Commissioner Splits'!$A$4:$J$351, 7, FALSE)*E107</f>
        <v>-3.2824800000000001E-4</v>
      </c>
      <c r="M107" s="380">
        <f>VLOOKUP($I107, 'Commissioner Splits'!$A$4:$J$351, 10, FALSE)*E107</f>
        <v>-3.9843719999999998E-4</v>
      </c>
      <c r="N107" s="380">
        <f>VLOOKUP($I107, 'Commissioner Splits'!$A$4:$J$351, 4, FALSE)*E107</f>
        <v>-2.6120160000000001E-4</v>
      </c>
      <c r="O107" s="380">
        <f>VLOOKUP($I107, 'Commissioner Splits'!$A$4:$J$351, 6, FALSE)*E107</f>
        <v>-1.6901279999999999E-4</v>
      </c>
      <c r="P107" s="380">
        <f>VLOOKUP($I107, 'Commissioner Splits'!$A$4:$J$351, 8, FALSE)*E107</f>
        <v>-2.2069440000000001E-4</v>
      </c>
      <c r="Q107" s="380">
        <f>VLOOKUP($I107, 'Commissioner Splits'!$A$4:$J$351,9, FALSE)*E107</f>
        <v>-7.7696999999999998E-5</v>
      </c>
      <c r="R107" s="452">
        <f t="shared" si="33"/>
        <v>-1.7459999999999999E-3</v>
      </c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16.5" customHeight="1" x14ac:dyDescent="0.2">
      <c r="A108" s="765" t="s">
        <v>17</v>
      </c>
      <c r="B108" s="727" t="s">
        <v>421</v>
      </c>
      <c r="D108" s="468"/>
      <c r="E108" s="419">
        <v>-0.25134000000000001</v>
      </c>
      <c r="F108" s="419">
        <v>-0.25134000000000001</v>
      </c>
      <c r="G108" s="419">
        <v>-0.25134000000000001</v>
      </c>
      <c r="H108" s="83"/>
      <c r="I108" s="464">
        <v>258</v>
      </c>
      <c r="J108" s="406" t="str">
        <f>CONCATENATE(VLOOKUP($I108, '[2]Commissioner Splits'!$A$4:$C$351, 2, FALSE), "     ", VLOOKUP($I108, '[2]Commissioner Splits'!$A$4:$C$351, 3, FALSE))</f>
        <v xml:space="preserve">Renal      Renal General </v>
      </c>
      <c r="K108" s="452">
        <f>VLOOKUP($I108, 'Commissioner Splits'!$A$4:$J$351, 5, FALSE)*E108</f>
        <v>-4.1848110000000001E-2</v>
      </c>
      <c r="L108" s="380">
        <f>VLOOKUP($I108, 'Commissioner Splits'!$A$4:$J$351, 7, FALSE)*E108</f>
        <v>-4.7251920000000003E-2</v>
      </c>
      <c r="M108" s="380">
        <f>VLOOKUP($I108, 'Commissioner Splits'!$A$4:$J$351, 10, FALSE)*E108</f>
        <v>-5.7355787999999998E-2</v>
      </c>
      <c r="N108" s="380">
        <f>VLOOKUP($I108, 'Commissioner Splits'!$A$4:$J$351, 4, FALSE)*E108</f>
        <v>-3.7600464000000007E-2</v>
      </c>
      <c r="O108" s="380">
        <f>VLOOKUP($I108, 'Commissioner Splits'!$A$4:$J$351, 6, FALSE)*E108</f>
        <v>-2.4329712E-2</v>
      </c>
      <c r="P108" s="380">
        <f>VLOOKUP($I108, 'Commissioner Splits'!$A$4:$J$351, 8, FALSE)*E108</f>
        <v>-3.1769376000000002E-2</v>
      </c>
      <c r="Q108" s="380">
        <f>VLOOKUP($I108, 'Commissioner Splits'!$A$4:$J$351,9, FALSE)*E108</f>
        <v>-1.1184629999999999E-2</v>
      </c>
      <c r="R108" s="452">
        <f t="shared" si="33"/>
        <v>-0.25133999999999995</v>
      </c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16.5" customHeight="1" x14ac:dyDescent="0.2">
      <c r="A109" s="765" t="s">
        <v>17</v>
      </c>
      <c r="B109" s="727" t="s">
        <v>420</v>
      </c>
      <c r="C109" s="422"/>
      <c r="D109" s="468"/>
      <c r="E109" s="419">
        <v>3.7959999999999999E-3</v>
      </c>
      <c r="F109" s="419">
        <v>3.7959999999999999E-3</v>
      </c>
      <c r="G109" s="419">
        <v>3.7959999999999999E-3</v>
      </c>
      <c r="H109" s="83"/>
      <c r="I109" s="464">
        <v>258</v>
      </c>
      <c r="J109" s="406" t="str">
        <f>CONCATENATE(VLOOKUP($I109, '[2]Commissioner Splits'!$A$4:$C$351, 2, FALSE), "     ", VLOOKUP($I109, '[2]Commissioner Splits'!$A$4:$C$351, 3, FALSE))</f>
        <v xml:space="preserve">Renal      Renal General </v>
      </c>
      <c r="K109" s="452">
        <f>VLOOKUP($I109, 'Commissioner Splits'!$A$4:$J$351, 5, FALSE)*E109</f>
        <v>6.3203400000000007E-4</v>
      </c>
      <c r="L109" s="380">
        <f>VLOOKUP($I109, 'Commissioner Splits'!$A$4:$J$351, 7, FALSE)*E109</f>
        <v>7.13648E-4</v>
      </c>
      <c r="M109" s="380">
        <f>VLOOKUP($I109, 'Commissioner Splits'!$A$4:$J$351, 10, FALSE)*E109</f>
        <v>8.6624719999999996E-4</v>
      </c>
      <c r="N109" s="380">
        <f>VLOOKUP($I109, 'Commissioner Splits'!$A$4:$J$351, 4, FALSE)*E109</f>
        <v>5.6788159999999999E-4</v>
      </c>
      <c r="O109" s="380">
        <f>VLOOKUP($I109, 'Commissioner Splits'!$A$4:$J$351, 6, FALSE)*E109</f>
        <v>3.6745279999999999E-4</v>
      </c>
      <c r="P109" s="380">
        <f>VLOOKUP($I109, 'Commissioner Splits'!$A$4:$J$351, 8, FALSE)*E109</f>
        <v>4.7981440000000004E-4</v>
      </c>
      <c r="Q109" s="380">
        <f>VLOOKUP($I109, 'Commissioner Splits'!$A$4:$J$351,9, FALSE)*E109</f>
        <v>1.6892199999999998E-4</v>
      </c>
      <c r="R109" s="452">
        <f t="shared" si="33"/>
        <v>3.7959999999999999E-3</v>
      </c>
      <c r="S109" s="3"/>
    </row>
    <row r="110" spans="1:28" ht="16.5" customHeight="1" x14ac:dyDescent="0.2">
      <c r="A110" s="765" t="s">
        <v>17</v>
      </c>
      <c r="B110" s="727" t="s">
        <v>584</v>
      </c>
      <c r="D110" s="468"/>
      <c r="E110" s="419">
        <v>-8.5929999999999999E-3</v>
      </c>
      <c r="F110" s="419">
        <v>-8.5929999999999999E-3</v>
      </c>
      <c r="G110" s="419">
        <v>-8.5929999999999999E-3</v>
      </c>
      <c r="H110" s="83"/>
      <c r="I110" s="464">
        <v>258</v>
      </c>
      <c r="J110" s="406" t="str">
        <f>CONCATENATE(VLOOKUP($I110, '[2]Commissioner Splits'!$A$4:$C$351, 2, FALSE), "     ", VLOOKUP($I110, '[2]Commissioner Splits'!$A$4:$C$351, 3, FALSE))</f>
        <v xml:space="preserve">Renal      Renal General </v>
      </c>
      <c r="K110" s="452">
        <f>VLOOKUP($I110, 'Commissioner Splits'!$A$4:$J$351, 5, FALSE)*E110</f>
        <v>-1.4307345000000001E-3</v>
      </c>
      <c r="L110" s="380">
        <f>VLOOKUP($I110, 'Commissioner Splits'!$A$4:$J$351, 7, FALSE)*E110</f>
        <v>-1.6154839999999999E-3</v>
      </c>
      <c r="M110" s="380">
        <f>VLOOKUP($I110, 'Commissioner Splits'!$A$4:$J$351, 10, FALSE)*E110</f>
        <v>-1.9609225999999997E-3</v>
      </c>
      <c r="N110" s="380">
        <f>VLOOKUP($I110, 'Commissioner Splits'!$A$4:$J$351, 4, FALSE)*E110</f>
        <v>-1.2855128E-3</v>
      </c>
      <c r="O110" s="380">
        <f>VLOOKUP($I110, 'Commissioner Splits'!$A$4:$J$351, 6, FALSE)*E110</f>
        <v>-8.318024E-4</v>
      </c>
      <c r="P110" s="380">
        <f>VLOOKUP($I110, 'Commissioner Splits'!$A$4:$J$351, 8, FALSE)*E110</f>
        <v>-1.0861552000000002E-3</v>
      </c>
      <c r="Q110" s="380">
        <f>VLOOKUP($I110, 'Commissioner Splits'!$A$4:$J$351,9, FALSE)*E110</f>
        <v>-3.8238849999999995E-4</v>
      </c>
      <c r="R110" s="452">
        <f t="shared" si="33"/>
        <v>-8.5929999999999999E-3</v>
      </c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6.5" customHeight="1" x14ac:dyDescent="0.2">
      <c r="A111" s="765" t="s">
        <v>17</v>
      </c>
      <c r="B111" s="727" t="s">
        <v>422</v>
      </c>
      <c r="D111" s="468"/>
      <c r="E111" s="419">
        <v>0.26</v>
      </c>
      <c r="F111" s="419">
        <v>0.26</v>
      </c>
      <c r="G111" s="419">
        <v>0.26</v>
      </c>
      <c r="H111" s="83"/>
      <c r="I111" s="464">
        <v>258</v>
      </c>
      <c r="J111" s="406" t="str">
        <f>CONCATENATE(VLOOKUP($I111, '[2]Commissioner Splits'!$A$4:$C$351, 2, FALSE), "     ", VLOOKUP($I111, '[2]Commissioner Splits'!$A$4:$C$351, 3, FALSE))</f>
        <v xml:space="preserve">Renal      Renal General </v>
      </c>
      <c r="K111" s="452">
        <f>VLOOKUP($I111, 'Commissioner Splits'!$A$4:$J$351, 5, FALSE)*E111</f>
        <v>4.3290000000000002E-2</v>
      </c>
      <c r="L111" s="380">
        <f>VLOOKUP($I111, 'Commissioner Splits'!$A$4:$J$351, 7, FALSE)*E111</f>
        <v>4.888E-2</v>
      </c>
      <c r="M111" s="380">
        <f>VLOOKUP($I111, 'Commissioner Splits'!$A$4:$J$351, 10, FALSE)*E111</f>
        <v>5.9331999999999996E-2</v>
      </c>
      <c r="N111" s="380">
        <f>VLOOKUP($I111, 'Commissioner Splits'!$A$4:$J$351, 4, FALSE)*E111</f>
        <v>3.8896000000000007E-2</v>
      </c>
      <c r="O111" s="380">
        <f>VLOOKUP($I111, 'Commissioner Splits'!$A$4:$J$351, 6, FALSE)*E111</f>
        <v>2.5167999999999999E-2</v>
      </c>
      <c r="P111" s="380">
        <f>VLOOKUP($I111, 'Commissioner Splits'!$A$4:$J$351, 8, FALSE)*E111</f>
        <v>3.2864000000000004E-2</v>
      </c>
      <c r="Q111" s="380">
        <f>VLOOKUP($I111, 'Commissioner Splits'!$A$4:$J$351,9, FALSE)*E111</f>
        <v>1.157E-2</v>
      </c>
      <c r="R111" s="452">
        <f t="shared" si="33"/>
        <v>0.26</v>
      </c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6.5" customHeight="1" x14ac:dyDescent="0.2">
      <c r="A112" s="765" t="s">
        <v>17</v>
      </c>
      <c r="B112" s="727" t="s">
        <v>423</v>
      </c>
      <c r="D112" s="468"/>
      <c r="E112" s="419">
        <v>-6.9399999999999996E-4</v>
      </c>
      <c r="F112" s="419">
        <v>-6.9399999999999996E-4</v>
      </c>
      <c r="G112" s="419">
        <v>-6.9399999999999996E-4</v>
      </c>
      <c r="H112" s="83"/>
      <c r="I112" s="464">
        <v>258</v>
      </c>
      <c r="J112" s="406" t="str">
        <f>CONCATENATE(VLOOKUP($I112, '[2]Commissioner Splits'!$A$4:$C$351, 2, FALSE), "     ", VLOOKUP($I112, '[2]Commissioner Splits'!$A$4:$C$351, 3, FALSE))</f>
        <v xml:space="preserve">Renal      Renal General </v>
      </c>
      <c r="K112" s="452">
        <f>VLOOKUP($I112, 'Commissioner Splits'!$A$4:$J$351, 5, FALSE)*E112</f>
        <v>-1.1555100000000001E-4</v>
      </c>
      <c r="L112" s="380">
        <f>VLOOKUP($I112, 'Commissioner Splits'!$A$4:$J$351, 7, FALSE)*E112</f>
        <v>-1.3047199999999999E-4</v>
      </c>
      <c r="M112" s="380">
        <f>VLOOKUP($I112, 'Commissioner Splits'!$A$4:$J$351, 10, FALSE)*E112</f>
        <v>-1.5837079999999999E-4</v>
      </c>
      <c r="N112" s="380">
        <f>VLOOKUP($I112, 'Commissioner Splits'!$A$4:$J$351, 4, FALSE)*E112</f>
        <v>-1.038224E-4</v>
      </c>
      <c r="O112" s="380">
        <f>VLOOKUP($I112, 'Commissioner Splits'!$A$4:$J$351, 6, FALSE)*E112</f>
        <v>-6.7179199999999989E-5</v>
      </c>
      <c r="P112" s="380">
        <f>VLOOKUP($I112, 'Commissioner Splits'!$A$4:$J$351, 8, FALSE)*E112</f>
        <v>-8.7721599999999997E-5</v>
      </c>
      <c r="Q112" s="380">
        <f>VLOOKUP($I112, 'Commissioner Splits'!$A$4:$J$351,9, FALSE)*E112</f>
        <v>-3.0882999999999996E-5</v>
      </c>
      <c r="R112" s="452">
        <f t="shared" si="33"/>
        <v>-6.9399999999999996E-4</v>
      </c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6.5" customHeight="1" x14ac:dyDescent="0.2">
      <c r="A113" s="765" t="s">
        <v>17</v>
      </c>
      <c r="B113" s="727" t="s">
        <v>585</v>
      </c>
      <c r="D113" s="468"/>
      <c r="E113" s="419">
        <v>0</v>
      </c>
      <c r="F113" s="419">
        <v>0</v>
      </c>
      <c r="G113" s="419">
        <v>0</v>
      </c>
      <c r="H113" s="83"/>
      <c r="I113" s="464">
        <v>258</v>
      </c>
      <c r="J113" s="406" t="str">
        <f>CONCATENATE(VLOOKUP($I113, '[2]Commissioner Splits'!$A$4:$C$351, 2, FALSE), "     ", VLOOKUP($I113, '[2]Commissioner Splits'!$A$4:$C$351, 3, FALSE))</f>
        <v xml:space="preserve">Renal      Renal General </v>
      </c>
      <c r="K113" s="452">
        <f>VLOOKUP($I113, 'Commissioner Splits'!$A$4:$J$351, 5, FALSE)*E113</f>
        <v>0</v>
      </c>
      <c r="L113" s="380">
        <f>VLOOKUP($I113, 'Commissioner Splits'!$A$4:$J$351, 7, FALSE)*E113</f>
        <v>0</v>
      </c>
      <c r="M113" s="380">
        <f>VLOOKUP($I113, 'Commissioner Splits'!$A$4:$J$351, 10, FALSE)*E113</f>
        <v>0</v>
      </c>
      <c r="N113" s="380">
        <f>VLOOKUP($I113, 'Commissioner Splits'!$A$4:$J$351, 4, FALSE)*E113</f>
        <v>0</v>
      </c>
      <c r="O113" s="380">
        <f>VLOOKUP($I113, 'Commissioner Splits'!$A$4:$J$351, 6, FALSE)*E113</f>
        <v>0</v>
      </c>
      <c r="P113" s="380">
        <f>VLOOKUP($I113, 'Commissioner Splits'!$A$4:$J$351, 8, FALSE)*E113</f>
        <v>0</v>
      </c>
      <c r="Q113" s="380">
        <f>VLOOKUP($I113, 'Commissioner Splits'!$A$4:$J$351,9, FALSE)*E113</f>
        <v>0</v>
      </c>
      <c r="R113" s="452">
        <f t="shared" si="33"/>
        <v>0</v>
      </c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6.5" customHeight="1" x14ac:dyDescent="0.2">
      <c r="A114" s="765" t="s">
        <v>17</v>
      </c>
      <c r="B114" s="727" t="s">
        <v>586</v>
      </c>
      <c r="D114" s="468"/>
      <c r="E114" s="419">
        <v>0</v>
      </c>
      <c r="F114" s="419">
        <v>0</v>
      </c>
      <c r="G114" s="419">
        <v>0</v>
      </c>
      <c r="H114" s="83"/>
      <c r="I114" s="464">
        <v>258</v>
      </c>
      <c r="J114" s="406" t="str">
        <f>CONCATENATE(VLOOKUP($I114, '[2]Commissioner Splits'!$A$4:$C$351, 2, FALSE), "     ", VLOOKUP($I114, '[2]Commissioner Splits'!$A$4:$C$351, 3, FALSE))</f>
        <v xml:space="preserve">Renal      Renal General </v>
      </c>
      <c r="K114" s="452">
        <f>VLOOKUP($I114, 'Commissioner Splits'!$A$4:$J$351, 5, FALSE)*E114</f>
        <v>0</v>
      </c>
      <c r="L114" s="380">
        <f>VLOOKUP($I114, 'Commissioner Splits'!$A$4:$J$351, 7, FALSE)*E114</f>
        <v>0</v>
      </c>
      <c r="M114" s="380">
        <f>VLOOKUP($I114, 'Commissioner Splits'!$A$4:$J$351, 10, FALSE)*E114</f>
        <v>0</v>
      </c>
      <c r="N114" s="380">
        <f>VLOOKUP($I114, 'Commissioner Splits'!$A$4:$J$351, 4, FALSE)*E114</f>
        <v>0</v>
      </c>
      <c r="O114" s="380">
        <f>VLOOKUP($I114, 'Commissioner Splits'!$A$4:$J$351, 6, FALSE)*E114</f>
        <v>0</v>
      </c>
      <c r="P114" s="380">
        <f>VLOOKUP($I114, 'Commissioner Splits'!$A$4:$J$351, 8, FALSE)*E114</f>
        <v>0</v>
      </c>
      <c r="Q114" s="380">
        <f>VLOOKUP($I114, 'Commissioner Splits'!$A$4:$J$351,9, FALSE)*E114</f>
        <v>0</v>
      </c>
      <c r="R114" s="452">
        <f t="shared" si="33"/>
        <v>0</v>
      </c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6.5" customHeight="1" x14ac:dyDescent="0.2">
      <c r="A115" s="765" t="s">
        <v>17</v>
      </c>
      <c r="B115" s="727" t="s">
        <v>587</v>
      </c>
      <c r="C115" s="422"/>
      <c r="D115" s="468"/>
      <c r="E115" s="419">
        <v>0</v>
      </c>
      <c r="F115" s="419">
        <v>0</v>
      </c>
      <c r="G115" s="419">
        <v>0</v>
      </c>
      <c r="H115" s="83"/>
      <c r="I115" s="464">
        <v>258</v>
      </c>
      <c r="J115" s="406" t="str">
        <f>CONCATENATE(VLOOKUP($I115, '[2]Commissioner Splits'!$A$4:$C$351, 2, FALSE), "     ", VLOOKUP($I115, '[2]Commissioner Splits'!$A$4:$C$351, 3, FALSE))</f>
        <v xml:space="preserve">Renal      Renal General </v>
      </c>
      <c r="K115" s="452">
        <f>VLOOKUP($I115, 'Commissioner Splits'!$A$4:$J$351, 5, FALSE)*E115</f>
        <v>0</v>
      </c>
      <c r="L115" s="380">
        <f>VLOOKUP($I115, 'Commissioner Splits'!$A$4:$J$351, 7, FALSE)*E115</f>
        <v>0</v>
      </c>
      <c r="M115" s="380">
        <f>VLOOKUP($I115, 'Commissioner Splits'!$A$4:$J$351, 10, FALSE)*E115</f>
        <v>0</v>
      </c>
      <c r="N115" s="380">
        <f>VLOOKUP($I115, 'Commissioner Splits'!$A$4:$J$351, 4, FALSE)*E115</f>
        <v>0</v>
      </c>
      <c r="O115" s="380">
        <f>VLOOKUP($I115, 'Commissioner Splits'!$A$4:$J$351, 6, FALSE)*E115</f>
        <v>0</v>
      </c>
      <c r="P115" s="380">
        <f>VLOOKUP($I115, 'Commissioner Splits'!$A$4:$J$351, 8, FALSE)*E115</f>
        <v>0</v>
      </c>
      <c r="Q115" s="380">
        <f>VLOOKUP($I115, 'Commissioner Splits'!$A$4:$J$351,9, FALSE)*E115</f>
        <v>0</v>
      </c>
      <c r="R115" s="452">
        <f t="shared" si="33"/>
        <v>0</v>
      </c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6.5" customHeight="1" x14ac:dyDescent="0.2">
      <c r="A116" s="765" t="s">
        <v>17</v>
      </c>
      <c r="B116" s="727" t="s">
        <v>588</v>
      </c>
      <c r="C116" s="422"/>
      <c r="D116" s="468"/>
      <c r="E116" s="419">
        <v>5.6894E-2</v>
      </c>
      <c r="F116" s="419">
        <v>5.6894E-2</v>
      </c>
      <c r="G116" s="419">
        <v>5.6894E-2</v>
      </c>
      <c r="H116" s="83"/>
      <c r="I116" s="464">
        <v>258</v>
      </c>
      <c r="J116" s="406" t="str">
        <f>CONCATENATE(VLOOKUP($I116, '[2]Commissioner Splits'!$A$4:$C$351, 2, FALSE), "     ", VLOOKUP($I116, '[2]Commissioner Splits'!$A$4:$C$351, 3, FALSE))</f>
        <v xml:space="preserve">Renal      Renal General </v>
      </c>
      <c r="K116" s="452">
        <f>VLOOKUP($I116, 'Commissioner Splits'!$A$4:$J$351, 5, FALSE)*E116</f>
        <v>9.4728510000000009E-3</v>
      </c>
      <c r="L116" s="380">
        <f>VLOOKUP($I116, 'Commissioner Splits'!$A$4:$J$351, 7, FALSE)*E116</f>
        <v>1.0696072000000001E-2</v>
      </c>
      <c r="M116" s="380">
        <f>VLOOKUP($I116, 'Commissioner Splits'!$A$4:$J$351, 10, FALSE)*E116</f>
        <v>1.2983210799999999E-2</v>
      </c>
      <c r="N116" s="380">
        <f>VLOOKUP($I116, 'Commissioner Splits'!$A$4:$J$351, 4, FALSE)*E116</f>
        <v>8.5113424E-3</v>
      </c>
      <c r="O116" s="380">
        <f>VLOOKUP($I116, 'Commissioner Splits'!$A$4:$J$351, 6, FALSE)*E116</f>
        <v>5.5073392000000001E-3</v>
      </c>
      <c r="P116" s="380">
        <f>VLOOKUP($I116, 'Commissioner Splits'!$A$4:$J$351, 8, FALSE)*E116</f>
        <v>7.1914016000000011E-3</v>
      </c>
      <c r="Q116" s="380">
        <f>VLOOKUP($I116, 'Commissioner Splits'!$A$4:$J$351,9, FALSE)*E116</f>
        <v>2.5317829999999997E-3</v>
      </c>
      <c r="R116" s="452">
        <f t="shared" si="33"/>
        <v>5.6894E-2</v>
      </c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6.5" customHeight="1" x14ac:dyDescent="0.2">
      <c r="A117" s="765" t="s">
        <v>17</v>
      </c>
      <c r="B117" s="727" t="s">
        <v>424</v>
      </c>
      <c r="D117" s="468"/>
      <c r="E117" s="419">
        <v>9.1322999999999988E-2</v>
      </c>
      <c r="F117" s="419">
        <v>9.1322999999999988E-2</v>
      </c>
      <c r="G117" s="419">
        <v>9.1322999999999988E-2</v>
      </c>
      <c r="H117" s="83"/>
      <c r="I117" s="464">
        <v>258</v>
      </c>
      <c r="J117" s="406" t="str">
        <f>CONCATENATE(VLOOKUP($I117, '[2]Commissioner Splits'!$A$4:$C$351, 2, FALSE), "     ", VLOOKUP($I117, '[2]Commissioner Splits'!$A$4:$C$351, 3, FALSE))</f>
        <v xml:space="preserve">Renal      Renal General </v>
      </c>
      <c r="K117" s="452">
        <f>VLOOKUP($I117, 'Commissioner Splits'!$A$4:$J$351, 5, FALSE)*E117</f>
        <v>1.5205279499999998E-2</v>
      </c>
      <c r="L117" s="380">
        <f>VLOOKUP($I117, 'Commissioner Splits'!$A$4:$J$351, 7, FALSE)*E117</f>
        <v>1.7168723999999996E-2</v>
      </c>
      <c r="M117" s="380">
        <f>VLOOKUP($I117, 'Commissioner Splits'!$A$4:$J$351, 10, FALSE)*E117</f>
        <v>2.0839908599999995E-2</v>
      </c>
      <c r="N117" s="380">
        <f>VLOOKUP($I117, 'Commissioner Splits'!$A$4:$J$351, 4, FALSE)*E117</f>
        <v>1.36619208E-2</v>
      </c>
      <c r="O117" s="380">
        <f>VLOOKUP($I117, 'Commissioner Splits'!$A$4:$J$351, 6, FALSE)*E117</f>
        <v>8.840066399999999E-3</v>
      </c>
      <c r="P117" s="380">
        <f>VLOOKUP($I117, 'Commissioner Splits'!$A$4:$J$351, 8, FALSE)*E117</f>
        <v>1.1543227199999999E-2</v>
      </c>
      <c r="Q117" s="380">
        <f>VLOOKUP($I117, 'Commissioner Splits'!$A$4:$J$351,9, FALSE)*E117</f>
        <v>4.0638734999999988E-3</v>
      </c>
      <c r="R117" s="452">
        <f t="shared" si="33"/>
        <v>9.1323000000000001E-2</v>
      </c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6.5" customHeight="1" x14ac:dyDescent="0.2">
      <c r="A118" s="765" t="s">
        <v>17</v>
      </c>
      <c r="B118" s="727" t="s">
        <v>102</v>
      </c>
      <c r="D118" s="468"/>
      <c r="E118" s="419">
        <v>0.15</v>
      </c>
      <c r="F118" s="419">
        <v>0.15</v>
      </c>
      <c r="G118" s="419">
        <v>0.15</v>
      </c>
      <c r="H118" s="83"/>
      <c r="I118" s="464">
        <v>258</v>
      </c>
      <c r="J118" s="406" t="str">
        <f>CONCATENATE(VLOOKUP($I118, '[2]Commissioner Splits'!$A$4:$C$351, 2, FALSE), "     ", VLOOKUP($I118, '[2]Commissioner Splits'!$A$4:$C$351, 3, FALSE))</f>
        <v xml:space="preserve">Renal      Renal General </v>
      </c>
      <c r="K118" s="452">
        <f>VLOOKUP($I118, 'Commissioner Splits'!$A$4:$J$351, 5, FALSE)*E118</f>
        <v>2.4975000000000001E-2</v>
      </c>
      <c r="L118" s="380">
        <f>VLOOKUP($I118, 'Commissioner Splits'!$A$4:$J$351, 7, FALSE)*E118</f>
        <v>2.8199999999999999E-2</v>
      </c>
      <c r="M118" s="380">
        <f>VLOOKUP($I118, 'Commissioner Splits'!$A$4:$J$351, 10, FALSE)*E118</f>
        <v>3.4229999999999997E-2</v>
      </c>
      <c r="N118" s="380">
        <f>VLOOKUP($I118, 'Commissioner Splits'!$A$4:$J$351, 4, FALSE)*E118</f>
        <v>2.2440000000000002E-2</v>
      </c>
      <c r="O118" s="380">
        <f>VLOOKUP($I118, 'Commissioner Splits'!$A$4:$J$351, 6, FALSE)*E118</f>
        <v>1.4519999999999998E-2</v>
      </c>
      <c r="P118" s="380">
        <f>VLOOKUP($I118, 'Commissioner Splits'!$A$4:$J$351, 8, FALSE)*E118</f>
        <v>1.8960000000000001E-2</v>
      </c>
      <c r="Q118" s="380">
        <f>VLOOKUP($I118, 'Commissioner Splits'!$A$4:$J$351,9, FALSE)*E118</f>
        <v>6.6749999999999995E-3</v>
      </c>
      <c r="R118" s="452">
        <f t="shared" si="33"/>
        <v>0.15</v>
      </c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6.5" customHeight="1" x14ac:dyDescent="0.2">
      <c r="A119" s="765" t="s">
        <v>17</v>
      </c>
      <c r="B119" s="727" t="s">
        <v>589</v>
      </c>
      <c r="D119" s="468"/>
      <c r="E119" s="419">
        <v>0</v>
      </c>
      <c r="F119" s="419">
        <v>0</v>
      </c>
      <c r="G119" s="419">
        <v>0</v>
      </c>
      <c r="H119" s="83"/>
      <c r="I119" s="464">
        <v>258</v>
      </c>
      <c r="J119" s="406" t="str">
        <f>CONCATENATE(VLOOKUP($I119, '[2]Commissioner Splits'!$A$4:$C$351, 2, FALSE), "     ", VLOOKUP($I119, '[2]Commissioner Splits'!$A$4:$C$351, 3, FALSE))</f>
        <v xml:space="preserve">Renal      Renal General </v>
      </c>
      <c r="K119" s="452">
        <f>VLOOKUP($I119, 'Commissioner Splits'!$A$4:$J$351, 5, FALSE)*E119</f>
        <v>0</v>
      </c>
      <c r="L119" s="380">
        <f>VLOOKUP($I119, 'Commissioner Splits'!$A$4:$J$351, 7, FALSE)*E119</f>
        <v>0</v>
      </c>
      <c r="M119" s="380">
        <f>VLOOKUP($I119, 'Commissioner Splits'!$A$4:$J$351, 10, FALSE)*E119</f>
        <v>0</v>
      </c>
      <c r="N119" s="380">
        <f>VLOOKUP($I119, 'Commissioner Splits'!$A$4:$J$351, 4, FALSE)*E119</f>
        <v>0</v>
      </c>
      <c r="O119" s="380">
        <f>VLOOKUP($I119, 'Commissioner Splits'!$A$4:$J$351, 6, FALSE)*E119</f>
        <v>0</v>
      </c>
      <c r="P119" s="380">
        <f>VLOOKUP($I119, 'Commissioner Splits'!$A$4:$J$351, 8, FALSE)*E119</f>
        <v>0</v>
      </c>
      <c r="Q119" s="380">
        <f>VLOOKUP($I119, 'Commissioner Splits'!$A$4:$J$351,9, FALSE)*E119</f>
        <v>0</v>
      </c>
      <c r="R119" s="452">
        <f t="shared" si="33"/>
        <v>0</v>
      </c>
      <c r="S119" s="3"/>
    </row>
    <row r="120" spans="1:28" ht="16.5" customHeight="1" x14ac:dyDescent="0.2">
      <c r="A120" s="765" t="s">
        <v>17</v>
      </c>
      <c r="B120" s="727" t="s">
        <v>103</v>
      </c>
      <c r="D120" s="468"/>
      <c r="E120" s="419">
        <v>-8.8619999999999984E-3</v>
      </c>
      <c r="F120" s="419">
        <v>-8.8619999999999984E-3</v>
      </c>
      <c r="G120" s="419">
        <v>-8.8619999999999984E-3</v>
      </c>
      <c r="H120" s="83"/>
      <c r="I120" s="464">
        <v>258</v>
      </c>
      <c r="J120" s="406" t="str">
        <f>CONCATENATE(VLOOKUP($I120, '[2]Commissioner Splits'!$A$4:$C$351, 2, FALSE), "     ", VLOOKUP($I120, '[2]Commissioner Splits'!$A$4:$C$351, 3, FALSE))</f>
        <v xml:space="preserve">Renal      Renal General </v>
      </c>
      <c r="K120" s="452">
        <f>VLOOKUP($I120, 'Commissioner Splits'!$A$4:$J$351, 5, FALSE)*E120</f>
        <v>-1.4755229999999999E-3</v>
      </c>
      <c r="L120" s="380">
        <f>VLOOKUP($I120, 'Commissioner Splits'!$A$4:$J$351, 7, FALSE)*E120</f>
        <v>-1.6660559999999997E-3</v>
      </c>
      <c r="M120" s="380">
        <f>VLOOKUP($I120, 'Commissioner Splits'!$A$4:$J$351, 10, FALSE)*E120</f>
        <v>-2.0223083999999997E-3</v>
      </c>
      <c r="N120" s="380">
        <f>VLOOKUP($I120, 'Commissioner Splits'!$A$4:$J$351, 4, FALSE)*E120</f>
        <v>-1.3257551999999999E-3</v>
      </c>
      <c r="O120" s="380">
        <f>VLOOKUP($I120, 'Commissioner Splits'!$A$4:$J$351, 6, FALSE)*E120</f>
        <v>-8.578415999999998E-4</v>
      </c>
      <c r="P120" s="380">
        <f>VLOOKUP($I120, 'Commissioner Splits'!$A$4:$J$351, 8, FALSE)*E120</f>
        <v>-1.1201567999999998E-3</v>
      </c>
      <c r="Q120" s="380">
        <f>VLOOKUP($I120, 'Commissioner Splits'!$A$4:$J$351,9, FALSE)*E120</f>
        <v>-3.9435899999999989E-4</v>
      </c>
      <c r="R120" s="452">
        <f t="shared" si="31"/>
        <v>-8.8619999999999984E-3</v>
      </c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ht="16.5" customHeight="1" x14ac:dyDescent="0.2">
      <c r="A121" s="765" t="s">
        <v>17</v>
      </c>
      <c r="B121" s="727" t="s">
        <v>590</v>
      </c>
      <c r="D121" s="468"/>
      <c r="E121" s="419">
        <v>0</v>
      </c>
      <c r="F121" s="419">
        <v>0</v>
      </c>
      <c r="G121" s="419">
        <v>0</v>
      </c>
      <c r="H121" s="83"/>
      <c r="I121" s="464">
        <v>258</v>
      </c>
      <c r="J121" s="406" t="str">
        <f>CONCATENATE(VLOOKUP($I121, '[2]Commissioner Splits'!$A$4:$C$351, 2, FALSE), "     ", VLOOKUP($I121, '[2]Commissioner Splits'!$A$4:$C$351, 3, FALSE))</f>
        <v xml:space="preserve">Renal      Renal General </v>
      </c>
      <c r="K121" s="452">
        <f>VLOOKUP($I121, 'Commissioner Splits'!$A$4:$J$351, 5, FALSE)*E121</f>
        <v>0</v>
      </c>
      <c r="L121" s="380">
        <f>VLOOKUP($I121, 'Commissioner Splits'!$A$4:$J$351, 7, FALSE)*E121</f>
        <v>0</v>
      </c>
      <c r="M121" s="380">
        <f>VLOOKUP($I121, 'Commissioner Splits'!$A$4:$J$351, 10, FALSE)*E121</f>
        <v>0</v>
      </c>
      <c r="N121" s="380">
        <f>VLOOKUP($I121, 'Commissioner Splits'!$A$4:$J$351, 4, FALSE)*E121</f>
        <v>0</v>
      </c>
      <c r="O121" s="380">
        <f>VLOOKUP($I121, 'Commissioner Splits'!$A$4:$J$351, 6, FALSE)*E121</f>
        <v>0</v>
      </c>
      <c r="P121" s="380">
        <f>VLOOKUP($I121, 'Commissioner Splits'!$A$4:$J$351, 8, FALSE)*E121</f>
        <v>0</v>
      </c>
      <c r="Q121" s="380">
        <f>VLOOKUP($I121, 'Commissioner Splits'!$A$4:$J$351,9, FALSE)*E121</f>
        <v>0</v>
      </c>
      <c r="R121" s="452">
        <f t="shared" si="31"/>
        <v>0</v>
      </c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16.5" customHeight="1" x14ac:dyDescent="0.2">
      <c r="A122" s="765" t="s">
        <v>17</v>
      </c>
      <c r="B122" s="727" t="s">
        <v>104</v>
      </c>
      <c r="D122" s="468"/>
      <c r="E122" s="419">
        <v>-5.9072E-2</v>
      </c>
      <c r="F122" s="419">
        <v>-5.9072E-2</v>
      </c>
      <c r="G122" s="419">
        <v>-5.9072E-2</v>
      </c>
      <c r="H122" s="83"/>
      <c r="I122" s="464">
        <v>258</v>
      </c>
      <c r="J122" s="406" t="str">
        <f>CONCATENATE(VLOOKUP($I122, '[2]Commissioner Splits'!$A$4:$C$351, 2, FALSE), "     ", VLOOKUP($I122, '[2]Commissioner Splits'!$A$4:$C$351, 3, FALSE))</f>
        <v xml:space="preserve">Renal      Renal General </v>
      </c>
      <c r="K122" s="452">
        <f>VLOOKUP($I122, 'Commissioner Splits'!$A$4:$J$351, 5, FALSE)*E122</f>
        <v>-9.8354879999999999E-3</v>
      </c>
      <c r="L122" s="380">
        <f>VLOOKUP($I122, 'Commissioner Splits'!$A$4:$J$351, 7, FALSE)*E122</f>
        <v>-1.1105535999999999E-2</v>
      </c>
      <c r="M122" s="380">
        <f>VLOOKUP($I122, 'Commissioner Splits'!$A$4:$J$351, 10, FALSE)*E122</f>
        <v>-1.3480230399999999E-2</v>
      </c>
      <c r="N122" s="380">
        <f>VLOOKUP($I122, 'Commissioner Splits'!$A$4:$J$351, 4, FALSE)*E122</f>
        <v>-8.8371712000000005E-3</v>
      </c>
      <c r="O122" s="380">
        <f>VLOOKUP($I122, 'Commissioner Splits'!$A$4:$J$351, 6, FALSE)*E122</f>
        <v>-5.7181695999999997E-3</v>
      </c>
      <c r="P122" s="380">
        <f>VLOOKUP($I122, 'Commissioner Splits'!$A$4:$J$351, 8, FALSE)*E122</f>
        <v>-7.4667008000000009E-3</v>
      </c>
      <c r="Q122" s="380">
        <f>VLOOKUP($I122, 'Commissioner Splits'!$A$4:$J$351,9, FALSE)*E122</f>
        <v>-2.6287039999999999E-3</v>
      </c>
      <c r="R122" s="452">
        <f t="shared" si="31"/>
        <v>-5.9072000000000006E-2</v>
      </c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16.5" customHeight="1" x14ac:dyDescent="0.2">
      <c r="A123" s="765" t="s">
        <v>17</v>
      </c>
      <c r="B123" s="727" t="s">
        <v>177</v>
      </c>
      <c r="D123" s="468"/>
      <c r="E123" s="419">
        <v>-9.2335E-2</v>
      </c>
      <c r="F123" s="419">
        <v>-9.2335E-2</v>
      </c>
      <c r="G123" s="419">
        <v>-9.2335E-2</v>
      </c>
      <c r="H123" s="83"/>
      <c r="I123" s="464">
        <v>258</v>
      </c>
      <c r="J123" s="406" t="str">
        <f>CONCATENATE(VLOOKUP($I123, '[2]Commissioner Splits'!$A$4:$C$351, 2, FALSE), "     ", VLOOKUP($I123, '[2]Commissioner Splits'!$A$4:$C$351, 3, FALSE))</f>
        <v xml:space="preserve">Renal      Renal General </v>
      </c>
      <c r="K123" s="452">
        <f>VLOOKUP($I123, 'Commissioner Splits'!$A$4:$J$351, 5, FALSE)*E123</f>
        <v>-1.5373777500000001E-2</v>
      </c>
      <c r="L123" s="380">
        <f>VLOOKUP($I123, 'Commissioner Splits'!$A$4:$J$351, 7, FALSE)*E123</f>
        <v>-1.735898E-2</v>
      </c>
      <c r="M123" s="380">
        <f>VLOOKUP($I123, 'Commissioner Splits'!$A$4:$J$351, 10, FALSE)*E123</f>
        <v>-2.1070847E-2</v>
      </c>
      <c r="N123" s="380">
        <f>VLOOKUP($I123, 'Commissioner Splits'!$A$4:$J$351, 4, FALSE)*E123</f>
        <v>-1.3813316000000001E-2</v>
      </c>
      <c r="O123" s="380">
        <f>VLOOKUP($I123, 'Commissioner Splits'!$A$4:$J$351, 6, FALSE)*E123</f>
        <v>-8.9380280000000006E-3</v>
      </c>
      <c r="P123" s="380">
        <f>VLOOKUP($I123, 'Commissioner Splits'!$A$4:$J$351, 8, FALSE)*E123</f>
        <v>-1.1671144000000001E-2</v>
      </c>
      <c r="Q123" s="380">
        <f>VLOOKUP($I123, 'Commissioner Splits'!$A$4:$J$351,9, FALSE)*E123</f>
        <v>-4.1089074999999999E-3</v>
      </c>
      <c r="R123" s="452">
        <f t="shared" si="31"/>
        <v>-9.2335000000000014E-2</v>
      </c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16.5" customHeight="1" x14ac:dyDescent="0.2">
      <c r="A124" s="765" t="s">
        <v>17</v>
      </c>
      <c r="B124" s="727" t="s">
        <v>105</v>
      </c>
      <c r="D124" s="468"/>
      <c r="E124" s="419">
        <v>6.6270000000000096E-3</v>
      </c>
      <c r="F124" s="419">
        <v>6.6270000000000096E-3</v>
      </c>
      <c r="G124" s="419">
        <v>6.6270000000000096E-3</v>
      </c>
      <c r="H124" s="83"/>
      <c r="I124" s="464">
        <v>258</v>
      </c>
      <c r="J124" s="406" t="str">
        <f>CONCATENATE(VLOOKUP($I124, '[2]Commissioner Splits'!$A$4:$C$351, 2, FALSE), "     ", VLOOKUP($I124, '[2]Commissioner Splits'!$A$4:$C$351, 3, FALSE))</f>
        <v xml:space="preserve">Renal      Renal General </v>
      </c>
      <c r="K124" s="452">
        <f>VLOOKUP($I124, 'Commissioner Splits'!$A$4:$J$351, 5, FALSE)*E124</f>
        <v>1.1033955000000018E-3</v>
      </c>
      <c r="L124" s="380">
        <f>VLOOKUP($I124, 'Commissioner Splits'!$A$4:$J$351, 7, FALSE)*E124</f>
        <v>1.2458760000000019E-3</v>
      </c>
      <c r="M124" s="380">
        <f>VLOOKUP($I124, 'Commissioner Splits'!$A$4:$J$351, 10, FALSE)*E124</f>
        <v>1.5122814000000022E-3</v>
      </c>
      <c r="N124" s="380">
        <f>VLOOKUP($I124, 'Commissioner Splits'!$A$4:$J$351, 4, FALSE)*E124</f>
        <v>9.913992000000016E-4</v>
      </c>
      <c r="O124" s="380">
        <f>VLOOKUP($I124, 'Commissioner Splits'!$A$4:$J$351, 6, FALSE)*E124</f>
        <v>6.4149360000000089E-4</v>
      </c>
      <c r="P124" s="380">
        <f>VLOOKUP($I124, 'Commissioner Splits'!$A$4:$J$351, 8, FALSE)*E124</f>
        <v>8.3765280000000128E-4</v>
      </c>
      <c r="Q124" s="380">
        <f>VLOOKUP($I124, 'Commissioner Splits'!$A$4:$J$351,9, FALSE)*E124</f>
        <v>2.9490150000000042E-4</v>
      </c>
      <c r="R124" s="452">
        <f t="shared" si="31"/>
        <v>6.6270000000000105E-3</v>
      </c>
      <c r="S124" s="3"/>
    </row>
    <row r="125" spans="1:28" ht="16.5" customHeight="1" x14ac:dyDescent="0.2">
      <c r="A125" s="765" t="s">
        <v>17</v>
      </c>
      <c r="B125" s="727" t="s">
        <v>106</v>
      </c>
      <c r="D125" s="468"/>
      <c r="E125" s="419">
        <v>-7.980000000000001E-3</v>
      </c>
      <c r="F125" s="419">
        <v>-7.980000000000001E-3</v>
      </c>
      <c r="G125" s="419">
        <v>-7.980000000000001E-3</v>
      </c>
      <c r="H125" s="83"/>
      <c r="I125" s="464">
        <v>258</v>
      </c>
      <c r="J125" s="406" t="str">
        <f>CONCATENATE(VLOOKUP($I125, '[2]Commissioner Splits'!$A$4:$C$351, 2, FALSE), "     ", VLOOKUP($I125, '[2]Commissioner Splits'!$A$4:$C$351, 3, FALSE))</f>
        <v xml:space="preserve">Renal      Renal General </v>
      </c>
      <c r="K125" s="452">
        <f>VLOOKUP($I125, 'Commissioner Splits'!$A$4:$J$351, 5, FALSE)*E125</f>
        <v>-1.3286700000000003E-3</v>
      </c>
      <c r="L125" s="380">
        <f>VLOOKUP($I125, 'Commissioner Splits'!$A$4:$J$351, 7, FALSE)*E125</f>
        <v>-1.5002400000000001E-3</v>
      </c>
      <c r="M125" s="380">
        <f>VLOOKUP($I125, 'Commissioner Splits'!$A$4:$J$351, 10, FALSE)*E125</f>
        <v>-1.8210360000000001E-3</v>
      </c>
      <c r="N125" s="380">
        <f>VLOOKUP($I125, 'Commissioner Splits'!$A$4:$J$351, 4, FALSE)*E125</f>
        <v>-1.1938080000000002E-3</v>
      </c>
      <c r="O125" s="380">
        <f>VLOOKUP($I125, 'Commissioner Splits'!$A$4:$J$351, 6, FALSE)*E125</f>
        <v>-7.7246400000000005E-4</v>
      </c>
      <c r="P125" s="380">
        <f>VLOOKUP($I125, 'Commissioner Splits'!$A$4:$J$351, 8, FALSE)*E125</f>
        <v>-1.0086720000000002E-3</v>
      </c>
      <c r="Q125" s="380">
        <f>VLOOKUP($I125, 'Commissioner Splits'!$A$4:$J$351,9, FALSE)*E125</f>
        <v>-3.5511000000000001E-4</v>
      </c>
      <c r="R125" s="452">
        <f t="shared" si="31"/>
        <v>-7.980000000000001E-3</v>
      </c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6.5" customHeight="1" x14ac:dyDescent="0.2">
      <c r="A126" s="765" t="s">
        <v>17</v>
      </c>
      <c r="B126" s="727" t="s">
        <v>178</v>
      </c>
      <c r="D126" s="468"/>
      <c r="E126" s="419">
        <v>0</v>
      </c>
      <c r="F126" s="419">
        <v>0</v>
      </c>
      <c r="G126" s="419">
        <v>0</v>
      </c>
      <c r="H126" s="83"/>
      <c r="I126" s="464">
        <v>258</v>
      </c>
      <c r="J126" s="406" t="str">
        <f>CONCATENATE(VLOOKUP($I126, '[2]Commissioner Splits'!$A$4:$C$351, 2, FALSE), "     ", VLOOKUP($I126, '[2]Commissioner Splits'!$A$4:$C$351, 3, FALSE))</f>
        <v xml:space="preserve">Renal      Renal General </v>
      </c>
      <c r="K126" s="452">
        <f>VLOOKUP($I126, 'Commissioner Splits'!$A$4:$J$351, 5, FALSE)*E126</f>
        <v>0</v>
      </c>
      <c r="L126" s="380">
        <f>VLOOKUP($I126, 'Commissioner Splits'!$A$4:$J$351, 7, FALSE)*E126</f>
        <v>0</v>
      </c>
      <c r="M126" s="380">
        <f>VLOOKUP($I126, 'Commissioner Splits'!$A$4:$J$351, 10, FALSE)*E126</f>
        <v>0</v>
      </c>
      <c r="N126" s="380">
        <f>VLOOKUP($I126, 'Commissioner Splits'!$A$4:$J$351, 4, FALSE)*E126</f>
        <v>0</v>
      </c>
      <c r="O126" s="380">
        <f>VLOOKUP($I126, 'Commissioner Splits'!$A$4:$J$351, 6, FALSE)*E126</f>
        <v>0</v>
      </c>
      <c r="P126" s="380">
        <f>VLOOKUP($I126, 'Commissioner Splits'!$A$4:$J$351, 8, FALSE)*E126</f>
        <v>0</v>
      </c>
      <c r="Q126" s="380">
        <f>VLOOKUP($I126, 'Commissioner Splits'!$A$4:$J$351,9, FALSE)*E126</f>
        <v>0</v>
      </c>
      <c r="R126" s="452">
        <f t="shared" si="31"/>
        <v>0</v>
      </c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6.5" customHeight="1" x14ac:dyDescent="0.2">
      <c r="A127" s="765" t="s">
        <v>17</v>
      </c>
      <c r="B127" s="727" t="s">
        <v>107</v>
      </c>
      <c r="D127" s="468"/>
      <c r="E127" s="419">
        <v>0.379332</v>
      </c>
      <c r="F127" s="419">
        <v>0.379332</v>
      </c>
      <c r="G127" s="419">
        <v>0.379332</v>
      </c>
      <c r="H127" s="83"/>
      <c r="I127" s="464">
        <v>258</v>
      </c>
      <c r="J127" s="406" t="str">
        <f>CONCATENATE(VLOOKUP($I127, '[2]Commissioner Splits'!$A$4:$C$351, 2, FALSE), "     ", VLOOKUP($I127, '[2]Commissioner Splits'!$A$4:$C$351, 3, FALSE))</f>
        <v xml:space="preserve">Renal      Renal General </v>
      </c>
      <c r="K127" s="452">
        <f>VLOOKUP($I127, 'Commissioner Splits'!$A$4:$J$351, 5, FALSE)*E127</f>
        <v>6.3158777999999999E-2</v>
      </c>
      <c r="L127" s="380">
        <f>VLOOKUP($I127, 'Commissioner Splits'!$A$4:$J$351, 7, FALSE)*E127</f>
        <v>7.1314416000000005E-2</v>
      </c>
      <c r="M127" s="380">
        <f>VLOOKUP($I127, 'Commissioner Splits'!$A$4:$J$351, 10, FALSE)*E127</f>
        <v>8.6563562400000002E-2</v>
      </c>
      <c r="N127" s="380">
        <f>VLOOKUP($I127, 'Commissioner Splits'!$A$4:$J$351, 4, FALSE)*E127</f>
        <v>5.6748067200000002E-2</v>
      </c>
      <c r="O127" s="380">
        <f>VLOOKUP($I127, 'Commissioner Splits'!$A$4:$J$351, 6, FALSE)*E127</f>
        <v>3.6719337599999999E-2</v>
      </c>
      <c r="P127" s="380">
        <f>VLOOKUP($I127, 'Commissioner Splits'!$A$4:$J$351, 8, FALSE)*E127</f>
        <v>4.7947564800000002E-2</v>
      </c>
      <c r="Q127" s="380">
        <f>VLOOKUP($I127, 'Commissioner Splits'!$A$4:$J$351,9, FALSE)*E127</f>
        <v>1.6880274000000001E-2</v>
      </c>
      <c r="R127" s="452">
        <f t="shared" si="31"/>
        <v>0.379332</v>
      </c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6.5" customHeight="1" x14ac:dyDescent="0.2">
      <c r="A128" s="765" t="s">
        <v>17</v>
      </c>
      <c r="B128" s="727" t="s">
        <v>108</v>
      </c>
      <c r="D128" s="468"/>
      <c r="E128" s="419">
        <v>-3.7143000000000002E-2</v>
      </c>
      <c r="F128" s="419">
        <v>-3.7143000000000002E-2</v>
      </c>
      <c r="G128" s="419">
        <v>-3.7143000000000002E-2</v>
      </c>
      <c r="H128" s="83"/>
      <c r="I128" s="464">
        <v>258</v>
      </c>
      <c r="J128" s="406" t="str">
        <f>CONCATENATE(VLOOKUP($I128, '[2]Commissioner Splits'!$A$4:$C$351, 2, FALSE), "     ", VLOOKUP($I128, '[2]Commissioner Splits'!$A$4:$C$351, 3, FALSE))</f>
        <v xml:space="preserve">Renal      Renal General </v>
      </c>
      <c r="K128" s="452">
        <f>VLOOKUP($I128, 'Commissioner Splits'!$A$4:$J$351, 5, FALSE)*E128</f>
        <v>-6.1843095000000004E-3</v>
      </c>
      <c r="L128" s="380">
        <f>VLOOKUP($I128, 'Commissioner Splits'!$A$4:$J$351, 7, FALSE)*E128</f>
        <v>-6.9828840000000008E-3</v>
      </c>
      <c r="M128" s="380">
        <f>VLOOKUP($I128, 'Commissioner Splits'!$A$4:$J$351, 10, FALSE)*E128</f>
        <v>-8.4760326000000007E-3</v>
      </c>
      <c r="N128" s="380">
        <f>VLOOKUP($I128, 'Commissioner Splits'!$A$4:$J$351, 4, FALSE)*E128</f>
        <v>-5.5565928000000011E-3</v>
      </c>
      <c r="O128" s="380">
        <f>VLOOKUP($I128, 'Commissioner Splits'!$A$4:$J$351, 6, FALSE)*E128</f>
        <v>-3.5954424E-3</v>
      </c>
      <c r="P128" s="380">
        <f>VLOOKUP($I128, 'Commissioner Splits'!$A$4:$J$351, 8, FALSE)*E128</f>
        <v>-4.6948752000000003E-3</v>
      </c>
      <c r="Q128" s="380">
        <f>VLOOKUP($I128, 'Commissioner Splits'!$A$4:$J$351,9, FALSE)*E128</f>
        <v>-1.6528635E-3</v>
      </c>
      <c r="R128" s="452">
        <f t="shared" si="31"/>
        <v>-3.7143000000000002E-2</v>
      </c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31" ht="16.5" customHeight="1" thickBot="1" x14ac:dyDescent="0.25">
      <c r="A129" s="765" t="s">
        <v>17</v>
      </c>
      <c r="B129" s="727" t="s">
        <v>109</v>
      </c>
      <c r="D129" s="468"/>
      <c r="E129" s="419">
        <v>-5.2552999999999996E-2</v>
      </c>
      <c r="F129" s="419">
        <v>-5.2552999999999996E-2</v>
      </c>
      <c r="G129" s="419">
        <v>-5.2552999999999996E-2</v>
      </c>
      <c r="H129" s="83"/>
      <c r="I129" s="464">
        <v>258</v>
      </c>
      <c r="J129" s="406" t="str">
        <f>CONCATENATE(VLOOKUP($I129, '[2]Commissioner Splits'!$A$4:$C$351, 2, FALSE), "     ", VLOOKUP($I129, '[2]Commissioner Splits'!$A$4:$C$351, 3, FALSE))</f>
        <v xml:space="preserve">Renal      Renal General </v>
      </c>
      <c r="K129" s="452">
        <f>VLOOKUP($I129, 'Commissioner Splits'!$A$4:$J$351, 5, FALSE)*E129</f>
        <v>-8.7500744999999998E-3</v>
      </c>
      <c r="L129" s="380">
        <f>VLOOKUP($I129, 'Commissioner Splits'!$A$4:$J$351, 7, FALSE)*E129</f>
        <v>-9.8799639999999998E-3</v>
      </c>
      <c r="M129" s="380">
        <f>VLOOKUP($I129, 'Commissioner Splits'!$A$4:$J$351, 10, FALSE)*E129</f>
        <v>-1.1992594599999998E-2</v>
      </c>
      <c r="N129" s="380">
        <f>VLOOKUP($I129, 'Commissioner Splits'!$A$4:$J$351, 4, FALSE)*E129</f>
        <v>-7.8619287999999992E-3</v>
      </c>
      <c r="O129" s="380">
        <f>VLOOKUP($I129, 'Commissioner Splits'!$A$4:$J$351, 6, FALSE)*E129</f>
        <v>-5.0871303999999997E-3</v>
      </c>
      <c r="P129" s="380">
        <f>VLOOKUP($I129, 'Commissioner Splits'!$A$4:$J$351, 8, FALSE)*E129</f>
        <v>-6.6426992000000002E-3</v>
      </c>
      <c r="Q129" s="380">
        <f>VLOOKUP($I129, 'Commissioner Splits'!$A$4:$J$351,9, FALSE)*E129</f>
        <v>-2.3386084999999996E-3</v>
      </c>
      <c r="R129" s="452">
        <f t="shared" si="31"/>
        <v>-5.2552999999999996E-2</v>
      </c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31" ht="16.5" customHeight="1" thickBot="1" x14ac:dyDescent="0.25">
      <c r="A130" s="765" t="s">
        <v>17</v>
      </c>
      <c r="B130" s="727" t="s">
        <v>425</v>
      </c>
      <c r="C130" s="87"/>
      <c r="D130" s="121"/>
      <c r="E130" s="419">
        <v>-5.8960000000000002E-3</v>
      </c>
      <c r="F130" s="419">
        <v>-5.8960000000000002E-3</v>
      </c>
      <c r="G130" s="419">
        <v>-5.8960000000000002E-3</v>
      </c>
      <c r="H130" s="83"/>
      <c r="I130" s="464">
        <v>258</v>
      </c>
      <c r="J130" s="406" t="str">
        <f>CONCATENATE(VLOOKUP($I130, '[2]Commissioner Splits'!$A$4:$C$351, 2, FALSE), "     ", VLOOKUP($I130, '[2]Commissioner Splits'!$A$4:$C$351, 3, FALSE))</f>
        <v xml:space="preserve">Renal      Renal General </v>
      </c>
      <c r="K130" s="452">
        <f>VLOOKUP($I130, 'Commissioner Splits'!$A$4:$J$351, 5, FALSE)*E130</f>
        <v>-9.8168400000000003E-4</v>
      </c>
      <c r="L130" s="380">
        <f>VLOOKUP($I130, 'Commissioner Splits'!$A$4:$J$351, 7, FALSE)*E130</f>
        <v>-1.1084479999999999E-3</v>
      </c>
      <c r="M130" s="380">
        <f>VLOOKUP($I130, 'Commissioner Splits'!$A$4:$J$351, 10, FALSE)*E130</f>
        <v>-1.3454672E-3</v>
      </c>
      <c r="N130" s="380">
        <f>VLOOKUP($I130, 'Commissioner Splits'!$A$4:$J$351, 4, FALSE)*E130</f>
        <v>-8.8204160000000006E-4</v>
      </c>
      <c r="O130" s="380">
        <f>VLOOKUP($I130, 'Commissioner Splits'!$A$4:$J$351, 6, FALSE)*E130</f>
        <v>-5.7073279999999996E-4</v>
      </c>
      <c r="P130" s="380">
        <f>VLOOKUP($I130, 'Commissioner Splits'!$A$4:$J$351, 8, FALSE)*E130</f>
        <v>-7.4525440000000013E-4</v>
      </c>
      <c r="Q130" s="380">
        <f>VLOOKUP($I130, 'Commissioner Splits'!$A$4:$J$351,9, FALSE)*E130</f>
        <v>-2.6237199999999997E-4</v>
      </c>
      <c r="R130" s="452">
        <f t="shared" si="31"/>
        <v>-5.8960000000000002E-3</v>
      </c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31" ht="16.5" customHeight="1" x14ac:dyDescent="0.2">
      <c r="A131" s="765" t="s">
        <v>17</v>
      </c>
      <c r="B131" s="727" t="s">
        <v>110</v>
      </c>
      <c r="C131" s="90"/>
      <c r="D131" s="90"/>
      <c r="E131" s="419">
        <v>1.7410000000000002E-2</v>
      </c>
      <c r="F131" s="419">
        <v>1.7410000000000002E-2</v>
      </c>
      <c r="G131" s="419">
        <v>1.7410000000000002E-2</v>
      </c>
      <c r="H131" s="83"/>
      <c r="I131" s="464">
        <v>258</v>
      </c>
      <c r="J131" s="406" t="str">
        <f>CONCATENATE(VLOOKUP($I131, '[2]Commissioner Splits'!$A$4:$C$351, 2, FALSE), "     ", VLOOKUP($I131, '[2]Commissioner Splits'!$A$4:$C$351, 3, FALSE))</f>
        <v xml:space="preserve">Renal      Renal General </v>
      </c>
      <c r="K131" s="452">
        <f>VLOOKUP($I131, 'Commissioner Splits'!$A$4:$J$351, 5, FALSE)*E131</f>
        <v>2.8987650000000006E-3</v>
      </c>
      <c r="L131" s="380">
        <f>VLOOKUP($I131, 'Commissioner Splits'!$A$4:$J$351, 7, FALSE)*E131</f>
        <v>3.2730800000000003E-3</v>
      </c>
      <c r="M131" s="380">
        <f>VLOOKUP($I131, 'Commissioner Splits'!$A$4:$J$351, 10, FALSE)*E131</f>
        <v>3.972962E-3</v>
      </c>
      <c r="N131" s="380">
        <f>VLOOKUP($I131, 'Commissioner Splits'!$A$4:$J$351, 4, FALSE)*E131</f>
        <v>2.6045360000000006E-3</v>
      </c>
      <c r="O131" s="380">
        <f>VLOOKUP($I131, 'Commissioner Splits'!$A$4:$J$351, 6, FALSE)*E131</f>
        <v>1.6852880000000001E-3</v>
      </c>
      <c r="P131" s="380">
        <f>VLOOKUP($I131, 'Commissioner Splits'!$A$4:$J$351, 8, FALSE)*E131</f>
        <v>2.2006240000000004E-3</v>
      </c>
      <c r="Q131" s="380">
        <f>VLOOKUP($I131, 'Commissioner Splits'!$A$4:$J$351,9, FALSE)*E131</f>
        <v>7.7474500000000008E-4</v>
      </c>
      <c r="R131" s="452">
        <f t="shared" si="31"/>
        <v>1.7410000000000002E-2</v>
      </c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31" ht="16.5" customHeight="1" x14ac:dyDescent="0.2">
      <c r="A132" s="765" t="s">
        <v>17</v>
      </c>
      <c r="B132" s="727" t="s">
        <v>111</v>
      </c>
      <c r="C132" s="82"/>
      <c r="D132" s="90"/>
      <c r="E132" s="419">
        <v>-0.13572900000000002</v>
      </c>
      <c r="F132" s="419">
        <v>-0.13572900000000002</v>
      </c>
      <c r="G132" s="419">
        <v>-0.13572900000000002</v>
      </c>
      <c r="H132" s="83"/>
      <c r="I132" s="464">
        <v>258</v>
      </c>
      <c r="J132" s="406" t="str">
        <f>CONCATENATE(VLOOKUP($I132, '[2]Commissioner Splits'!$A$4:$C$351, 2, FALSE), "     ", VLOOKUP($I132, '[2]Commissioner Splits'!$A$4:$C$351, 3, FALSE))</f>
        <v xml:space="preserve">Renal      Renal General </v>
      </c>
      <c r="K132" s="452">
        <f>VLOOKUP($I132, 'Commissioner Splits'!$A$4:$J$351, 5, FALSE)*E132</f>
        <v>-2.2598878500000003E-2</v>
      </c>
      <c r="L132" s="380">
        <f>VLOOKUP($I132, 'Commissioner Splits'!$A$4:$J$351, 7, FALSE)*E132</f>
        <v>-2.5517052000000002E-2</v>
      </c>
      <c r="M132" s="380">
        <f>VLOOKUP($I132, 'Commissioner Splits'!$A$4:$J$351, 10, FALSE)*E132</f>
        <v>-3.09733578E-2</v>
      </c>
      <c r="N132" s="380">
        <f>VLOOKUP($I132, 'Commissioner Splits'!$A$4:$J$351, 4, FALSE)*E132</f>
        <v>-2.0305058400000003E-2</v>
      </c>
      <c r="O132" s="380">
        <f>VLOOKUP($I132, 'Commissioner Splits'!$A$4:$J$351, 6, FALSE)*E132</f>
        <v>-1.3138567200000001E-2</v>
      </c>
      <c r="P132" s="380">
        <f>VLOOKUP($I132, 'Commissioner Splits'!$A$4:$J$351, 8, FALSE)*E132</f>
        <v>-1.7156145600000002E-2</v>
      </c>
      <c r="Q132" s="380">
        <f>VLOOKUP($I132, 'Commissioner Splits'!$A$4:$J$351,9, FALSE)*E132</f>
        <v>-6.0399405000000003E-3</v>
      </c>
      <c r="R132" s="452">
        <f t="shared" si="31"/>
        <v>-0.13572900000000002</v>
      </c>
      <c r="S132" s="3"/>
    </row>
    <row r="133" spans="1:31" ht="16.5" customHeight="1" x14ac:dyDescent="0.2">
      <c r="A133" s="765" t="s">
        <v>17</v>
      </c>
      <c r="B133" s="727" t="s">
        <v>112</v>
      </c>
      <c r="C133" s="82"/>
      <c r="D133" s="90"/>
      <c r="E133" s="419">
        <v>3.8159999999999999E-3</v>
      </c>
      <c r="F133" s="419">
        <v>3.8159999999999999E-3</v>
      </c>
      <c r="G133" s="419">
        <v>3.8159999999999999E-3</v>
      </c>
      <c r="H133" s="83"/>
      <c r="I133" s="464">
        <v>258</v>
      </c>
      <c r="J133" s="406" t="str">
        <f>CONCATENATE(VLOOKUP($I133, '[2]Commissioner Splits'!$A$4:$C$351, 2, FALSE), "     ", VLOOKUP($I133, '[2]Commissioner Splits'!$A$4:$C$351, 3, FALSE))</f>
        <v xml:space="preserve">Renal      Renal General </v>
      </c>
      <c r="K133" s="452">
        <f>VLOOKUP($I133, 'Commissioner Splits'!$A$4:$J$351, 5, FALSE)*E133</f>
        <v>6.3536400000000002E-4</v>
      </c>
      <c r="L133" s="380">
        <f>VLOOKUP($I133, 'Commissioner Splits'!$A$4:$J$351, 7, FALSE)*E133</f>
        <v>7.17408E-4</v>
      </c>
      <c r="M133" s="380">
        <f>VLOOKUP($I133, 'Commissioner Splits'!$A$4:$J$351, 10, FALSE)*E133</f>
        <v>8.7081119999999994E-4</v>
      </c>
      <c r="N133" s="380">
        <f>VLOOKUP($I133, 'Commissioner Splits'!$A$4:$J$351, 4, FALSE)*E133</f>
        <v>5.7087360000000005E-4</v>
      </c>
      <c r="O133" s="380">
        <f>VLOOKUP($I133, 'Commissioner Splits'!$A$4:$J$351, 6, FALSE)*E133</f>
        <v>3.6938880000000001E-4</v>
      </c>
      <c r="P133" s="380">
        <f>VLOOKUP($I133, 'Commissioner Splits'!$A$4:$J$351, 8, FALSE)*E133</f>
        <v>4.8234240000000005E-4</v>
      </c>
      <c r="Q133" s="380">
        <f>VLOOKUP($I133, 'Commissioner Splits'!$A$4:$J$351,9, FALSE)*E133</f>
        <v>1.6981199999999998E-4</v>
      </c>
      <c r="R133" s="452">
        <f t="shared" si="31"/>
        <v>3.8159999999999999E-3</v>
      </c>
      <c r="S133" s="3"/>
    </row>
    <row r="134" spans="1:31" ht="18" customHeight="1" thickBot="1" x14ac:dyDescent="0.25">
      <c r="A134" s="765" t="s">
        <v>17</v>
      </c>
      <c r="B134" s="727" t="s">
        <v>426</v>
      </c>
      <c r="D134" s="90"/>
      <c r="E134" s="419">
        <v>0</v>
      </c>
      <c r="F134" s="419">
        <v>0</v>
      </c>
      <c r="G134" s="419">
        <v>0</v>
      </c>
      <c r="H134" s="83"/>
      <c r="I134" s="464">
        <v>258</v>
      </c>
      <c r="J134" s="406" t="str">
        <f>CONCATENATE(VLOOKUP($I134, '[2]Commissioner Splits'!$A$4:$C$351, 2, FALSE), "     ", VLOOKUP($I134, '[2]Commissioner Splits'!$A$4:$C$351, 3, FALSE))</f>
        <v xml:space="preserve">Renal      Renal General </v>
      </c>
      <c r="K134" s="452">
        <f>VLOOKUP($I134, 'Commissioner Splits'!$A$4:$J$351, 5, FALSE)*E134</f>
        <v>0</v>
      </c>
      <c r="L134" s="380">
        <f>VLOOKUP($I134, 'Commissioner Splits'!$A$4:$J$351, 7, FALSE)*E134</f>
        <v>0</v>
      </c>
      <c r="M134" s="380">
        <f>VLOOKUP($I134, 'Commissioner Splits'!$A$4:$J$351, 10, FALSE)*E134</f>
        <v>0</v>
      </c>
      <c r="N134" s="380">
        <f>VLOOKUP($I134, 'Commissioner Splits'!$A$4:$J$351, 4, FALSE)*E134</f>
        <v>0</v>
      </c>
      <c r="O134" s="380">
        <f>VLOOKUP($I134, 'Commissioner Splits'!$A$4:$J$351, 6, FALSE)*E134</f>
        <v>0</v>
      </c>
      <c r="P134" s="380">
        <f>VLOOKUP($I134, 'Commissioner Splits'!$A$4:$J$351, 8, FALSE)*E134</f>
        <v>0</v>
      </c>
      <c r="Q134" s="380">
        <f>VLOOKUP($I134, 'Commissioner Splits'!$A$4:$J$351,9, FALSE)*E134</f>
        <v>0</v>
      </c>
      <c r="R134" s="452">
        <f t="shared" si="31"/>
        <v>0</v>
      </c>
      <c r="S134" s="3"/>
    </row>
    <row r="135" spans="1:31" s="82" customFormat="1" ht="21.75" customHeight="1" x14ac:dyDescent="0.2">
      <c r="A135" s="765" t="s">
        <v>17</v>
      </c>
      <c r="B135" s="727" t="s">
        <v>113</v>
      </c>
      <c r="C135" s="3"/>
      <c r="D135" s="67"/>
      <c r="E135" s="419">
        <v>1.7551999999999998E-2</v>
      </c>
      <c r="F135" s="419">
        <v>1.7551999999999998E-2</v>
      </c>
      <c r="G135" s="419">
        <v>1.7551999999999998E-2</v>
      </c>
      <c r="H135" s="83"/>
      <c r="I135" s="464">
        <v>258</v>
      </c>
      <c r="J135" s="406" t="str">
        <f>CONCATENATE(VLOOKUP($I135, '[2]Commissioner Splits'!$A$4:$C$351, 2, FALSE), "     ", VLOOKUP($I135, '[2]Commissioner Splits'!$A$4:$C$351, 3, FALSE))</f>
        <v xml:space="preserve">Renal      Renal General </v>
      </c>
      <c r="K135" s="452">
        <f>VLOOKUP($I135, 'Commissioner Splits'!$A$4:$J$351, 5, FALSE)*E135</f>
        <v>2.922408E-3</v>
      </c>
      <c r="L135" s="380">
        <f>VLOOKUP($I135, 'Commissioner Splits'!$A$4:$J$351, 7, FALSE)*E135</f>
        <v>3.2997759999999995E-3</v>
      </c>
      <c r="M135" s="380">
        <f>VLOOKUP($I135, 'Commissioner Splits'!$A$4:$J$351, 10, FALSE)*E135</f>
        <v>4.0053663999999991E-3</v>
      </c>
      <c r="N135" s="380">
        <f>VLOOKUP($I135, 'Commissioner Splits'!$A$4:$J$351, 4, FALSE)*E135</f>
        <v>2.6257792E-3</v>
      </c>
      <c r="O135" s="380">
        <f>VLOOKUP($I135, 'Commissioner Splits'!$A$4:$J$351, 6, FALSE)*E135</f>
        <v>1.6990335999999997E-3</v>
      </c>
      <c r="P135" s="380">
        <f>VLOOKUP($I135, 'Commissioner Splits'!$A$4:$J$351, 8, FALSE)*E135</f>
        <v>2.2185728000000001E-3</v>
      </c>
      <c r="Q135" s="380">
        <f>VLOOKUP($I135, 'Commissioner Splits'!$A$4:$J$351,9, FALSE)*E135</f>
        <v>7.8106399999999993E-4</v>
      </c>
      <c r="R135" s="452">
        <f t="shared" si="31"/>
        <v>1.7551999999999998E-2</v>
      </c>
      <c r="S135" s="3"/>
    </row>
    <row r="136" spans="1:31" ht="15" customHeight="1" x14ac:dyDescent="0.2">
      <c r="A136" s="765" t="s">
        <v>17</v>
      </c>
      <c r="B136" s="727" t="s">
        <v>114</v>
      </c>
      <c r="C136" s="74"/>
      <c r="D136" s="499" t="s">
        <v>35</v>
      </c>
      <c r="E136" s="419">
        <v>4.2734000000000001E-2</v>
      </c>
      <c r="F136" s="419">
        <v>4.2734000000000001E-2</v>
      </c>
      <c r="G136" s="419">
        <v>4.2734000000000001E-2</v>
      </c>
      <c r="H136" s="83"/>
      <c r="I136" s="464">
        <v>258</v>
      </c>
      <c r="J136" s="406" t="str">
        <f>CONCATENATE(VLOOKUP($I136, '[2]Commissioner Splits'!$A$4:$C$351, 2, FALSE), "     ", VLOOKUP($I136, '[2]Commissioner Splits'!$A$4:$C$351, 3, FALSE))</f>
        <v xml:space="preserve">Renal      Renal General </v>
      </c>
      <c r="K136" s="452">
        <f>VLOOKUP($I136, 'Commissioner Splits'!$A$4:$J$351, 5, FALSE)*E136</f>
        <v>7.1152110000000006E-3</v>
      </c>
      <c r="L136" s="380">
        <f>VLOOKUP($I136, 'Commissioner Splits'!$A$4:$J$351, 7, FALSE)*E136</f>
        <v>8.0339920000000002E-3</v>
      </c>
      <c r="M136" s="380">
        <f>VLOOKUP($I136, 'Commissioner Splits'!$A$4:$J$351, 10, FALSE)*E136</f>
        <v>9.7518988000000004E-3</v>
      </c>
      <c r="N136" s="380">
        <f>VLOOKUP($I136, 'Commissioner Splits'!$A$4:$J$351, 4, FALSE)*E136</f>
        <v>6.3930064000000007E-3</v>
      </c>
      <c r="O136" s="380">
        <f>VLOOKUP($I136, 'Commissioner Splits'!$A$4:$J$351, 6, FALSE)*E136</f>
        <v>4.1366511999999999E-3</v>
      </c>
      <c r="P136" s="380">
        <f>VLOOKUP($I136, 'Commissioner Splits'!$A$4:$J$351, 8, FALSE)*E136</f>
        <v>5.4015776000000005E-3</v>
      </c>
      <c r="Q136" s="380">
        <f>VLOOKUP($I136, 'Commissioner Splits'!$A$4:$J$351,9, FALSE)*E136</f>
        <v>1.9016630000000001E-3</v>
      </c>
      <c r="R136" s="452">
        <f t="shared" si="31"/>
        <v>4.2733999999999994E-2</v>
      </c>
      <c r="S136" s="3"/>
    </row>
    <row r="137" spans="1:31" s="3" customFormat="1" ht="15" customHeight="1" thickBot="1" x14ac:dyDescent="0.25">
      <c r="A137" s="765" t="s">
        <v>17</v>
      </c>
      <c r="B137" s="727" t="s">
        <v>115</v>
      </c>
      <c r="C137" s="76"/>
      <c r="D137" s="77"/>
      <c r="E137" s="419">
        <v>-7.0039999999999998E-3</v>
      </c>
      <c r="F137" s="419">
        <v>-7.0039999999999998E-3</v>
      </c>
      <c r="G137" s="419">
        <v>-7.0039999999999998E-3</v>
      </c>
      <c r="H137" s="83"/>
      <c r="I137" s="464">
        <v>258</v>
      </c>
      <c r="J137" s="406" t="str">
        <f>CONCATENATE(VLOOKUP($I137, '[2]Commissioner Splits'!$A$4:$C$351, 2, FALSE), "     ", VLOOKUP($I137, '[2]Commissioner Splits'!$A$4:$C$351, 3, FALSE))</f>
        <v xml:space="preserve">Renal      Renal General </v>
      </c>
      <c r="K137" s="452">
        <f>VLOOKUP($I137, 'Commissioner Splits'!$A$4:$J$351, 5, FALSE)*E137</f>
        <v>-1.1661659999999999E-3</v>
      </c>
      <c r="L137" s="380">
        <f>VLOOKUP($I137, 'Commissioner Splits'!$A$4:$J$351, 7, FALSE)*E137</f>
        <v>-1.316752E-3</v>
      </c>
      <c r="M137" s="380">
        <f>VLOOKUP($I137, 'Commissioner Splits'!$A$4:$J$351, 10, FALSE)*E137</f>
        <v>-1.5983127999999998E-3</v>
      </c>
      <c r="N137" s="380">
        <f>VLOOKUP($I137, 'Commissioner Splits'!$A$4:$J$351, 4, FALSE)*E137</f>
        <v>-1.0477984000000001E-3</v>
      </c>
      <c r="O137" s="380">
        <f>VLOOKUP($I137, 'Commissioner Splits'!$A$4:$J$351, 6, FALSE)*E137</f>
        <v>-6.7798719999999997E-4</v>
      </c>
      <c r="P137" s="380">
        <f>VLOOKUP($I137, 'Commissioner Splits'!$A$4:$J$351, 8, FALSE)*E137</f>
        <v>-8.8530560000000006E-4</v>
      </c>
      <c r="Q137" s="380">
        <f>VLOOKUP($I137, 'Commissioner Splits'!$A$4:$J$351,9, FALSE)*E137</f>
        <v>-3.1167799999999997E-4</v>
      </c>
      <c r="R137" s="452">
        <f t="shared" si="31"/>
        <v>-7.0039999999999989E-3</v>
      </c>
    </row>
    <row r="138" spans="1:31" s="3" customFormat="1" ht="15" customHeight="1" x14ac:dyDescent="0.2">
      <c r="A138" s="765" t="s">
        <v>17</v>
      </c>
      <c r="B138" s="727" t="s">
        <v>591</v>
      </c>
      <c r="C138" s="98"/>
      <c r="D138" s="100"/>
      <c r="E138" s="419">
        <v>0</v>
      </c>
      <c r="F138" s="419">
        <v>0</v>
      </c>
      <c r="G138" s="419">
        <v>0</v>
      </c>
      <c r="H138" s="83"/>
      <c r="I138" s="464">
        <v>258</v>
      </c>
      <c r="J138" s="406" t="str">
        <f>CONCATENATE(VLOOKUP($I138, '[2]Commissioner Splits'!$A$4:$C$351, 2, FALSE), "     ", VLOOKUP($I138, '[2]Commissioner Splits'!$A$4:$C$351, 3, FALSE))</f>
        <v xml:space="preserve">Renal      Renal General </v>
      </c>
      <c r="K138" s="452">
        <f>VLOOKUP($I138, 'Commissioner Splits'!$A$4:$J$351, 5, FALSE)*E138</f>
        <v>0</v>
      </c>
      <c r="L138" s="380">
        <f>VLOOKUP($I138, 'Commissioner Splits'!$A$4:$J$351, 7, FALSE)*E138</f>
        <v>0</v>
      </c>
      <c r="M138" s="380">
        <f>VLOOKUP($I138, 'Commissioner Splits'!$A$4:$J$351, 10, FALSE)*E138</f>
        <v>0</v>
      </c>
      <c r="N138" s="380">
        <f>VLOOKUP($I138, 'Commissioner Splits'!$A$4:$J$351, 4, FALSE)*E138</f>
        <v>0</v>
      </c>
      <c r="O138" s="380">
        <f>VLOOKUP($I138, 'Commissioner Splits'!$A$4:$J$351, 6, FALSE)*E138</f>
        <v>0</v>
      </c>
      <c r="P138" s="380">
        <f>VLOOKUP($I138, 'Commissioner Splits'!$A$4:$J$351, 8, FALSE)*E138</f>
        <v>0</v>
      </c>
      <c r="Q138" s="380">
        <f>VLOOKUP($I138, 'Commissioner Splits'!$A$4:$J$351,9, FALSE)*E138</f>
        <v>0</v>
      </c>
      <c r="R138" s="452">
        <f t="shared" si="31"/>
        <v>0</v>
      </c>
    </row>
    <row r="139" spans="1:31" s="3" customFormat="1" ht="15" customHeight="1" x14ac:dyDescent="0.2">
      <c r="A139" s="765" t="s">
        <v>23</v>
      </c>
      <c r="B139" s="727" t="s">
        <v>277</v>
      </c>
      <c r="C139" s="53"/>
      <c r="D139" s="53"/>
      <c r="E139" s="419">
        <v>0.63540933333333349</v>
      </c>
      <c r="F139" s="419">
        <v>0.63540933333333349</v>
      </c>
      <c r="G139" s="419">
        <v>0.63540933333333349</v>
      </c>
      <c r="H139" s="83"/>
      <c r="I139" s="464">
        <v>138</v>
      </c>
      <c r="J139" s="406" t="str">
        <f>CONCATENATE(VLOOKUP($I139, '[2]Commissioner Splits'!$A$4:$C$351, 2, FALSE), "     ", VLOOKUP($I139, '[2]Commissioner Splits'!$A$4:$C$351, 3, FALSE))</f>
        <v>Velindre     Melanoma Pathway Drugs</v>
      </c>
      <c r="K139" s="452">
        <f>VLOOKUP($I139, 'Commissioner Splits'!$A$4:$J$351, 5, FALSE)*E139</f>
        <v>1.5852196718952626E-2</v>
      </c>
      <c r="L139" s="380">
        <f>VLOOKUP($I139, 'Commissioner Splits'!$A$4:$J$351, 7, FALSE)*E139</f>
        <v>0.2192861150266667</v>
      </c>
      <c r="M139" s="380">
        <f>VLOOKUP($I139, 'Commissioner Splits'!$A$4:$J$351, 10, FALSE)*E139</f>
        <v>0</v>
      </c>
      <c r="N139" s="380">
        <f>VLOOKUP($I139, 'Commissioner Splits'!$A$4:$J$351, 4, FALSE)*E139</f>
        <v>0.27212982519066914</v>
      </c>
      <c r="O139" s="380">
        <f>VLOOKUP($I139, 'Commissioner Splits'!$A$4:$J$351, 6, FALSE)*E139</f>
        <v>0.11757068308988985</v>
      </c>
      <c r="P139" s="380">
        <f>VLOOKUP($I139, 'Commissioner Splits'!$A$4:$J$351, 8, FALSE)*E139</f>
        <v>0</v>
      </c>
      <c r="Q139" s="380">
        <f>VLOOKUP($I139, 'Commissioner Splits'!$A$4:$J$351,9, FALSE)*E139</f>
        <v>1.0547794933333337E-2</v>
      </c>
      <c r="R139" s="452">
        <f t="shared" ref="R139:R140" si="34">SUM(K139:Q139)</f>
        <v>0.63538661495951165</v>
      </c>
    </row>
    <row r="140" spans="1:31" s="3" customFormat="1" ht="15" customHeight="1" x14ac:dyDescent="0.2">
      <c r="A140" s="769" t="s">
        <v>23</v>
      </c>
      <c r="B140" s="733" t="s">
        <v>278</v>
      </c>
      <c r="C140" s="53"/>
      <c r="D140" s="53"/>
      <c r="E140" s="419">
        <v>-0.3</v>
      </c>
      <c r="F140" s="419">
        <v>-0.3</v>
      </c>
      <c r="G140" s="419">
        <v>-0.3</v>
      </c>
      <c r="H140" s="83"/>
      <c r="I140" s="464">
        <v>139</v>
      </c>
      <c r="J140" s="406" t="str">
        <f>CONCATENATE(VLOOKUP($I140, '[2]Commissioner Splits'!$A$4:$C$351, 2, FALSE), "     ", VLOOKUP($I140, '[2]Commissioner Splits'!$A$4:$C$351, 3, FALSE))</f>
        <v>Velindre     Other NICE cancer drugs</v>
      </c>
      <c r="K140" s="452">
        <f>VLOOKUP($I140, 'Commissioner Splits'!$A$4:$J$351, 5, FALSE)*E140</f>
        <v>-2.9579999999999995E-2</v>
      </c>
      <c r="L140" s="380">
        <f>VLOOKUP($I140, 'Commissioner Splits'!$A$4:$J$351, 7, FALSE)*E140</f>
        <v>-0.11774999999999999</v>
      </c>
      <c r="M140" s="380">
        <f>VLOOKUP($I140, 'Commissioner Splits'!$A$4:$J$351, 10, FALSE)*E140</f>
        <v>0</v>
      </c>
      <c r="N140" s="380">
        <f>VLOOKUP($I140, 'Commissioner Splits'!$A$4:$J$351, 4, FALSE)*E140</f>
        <v>-8.6069999999999994E-2</v>
      </c>
      <c r="O140" s="380">
        <f>VLOOKUP($I140, 'Commissioner Splits'!$A$4:$J$351, 6, FALSE)*E140</f>
        <v>-5.5649999999999998E-2</v>
      </c>
      <c r="P140" s="380">
        <f>VLOOKUP($I140, 'Commissioner Splits'!$A$4:$J$351, 8, FALSE)*E140</f>
        <v>-4.5300000000000002E-3</v>
      </c>
      <c r="Q140" s="380">
        <f>VLOOKUP($I140, 'Commissioner Splits'!$A$4:$J$351,9, FALSE)*E140</f>
        <v>-6.4199999999999995E-3</v>
      </c>
      <c r="R140" s="452">
        <f t="shared" si="34"/>
        <v>-0.29999999999999993</v>
      </c>
    </row>
    <row r="141" spans="1:31" s="3" customFormat="1" ht="15" customHeight="1" x14ac:dyDescent="0.2">
      <c r="A141" s="765" t="s">
        <v>23</v>
      </c>
      <c r="B141" s="727" t="s">
        <v>276</v>
      </c>
      <c r="C141" s="53"/>
      <c r="D141" s="53"/>
      <c r="E141" s="419">
        <v>3.1E-2</v>
      </c>
      <c r="F141" s="419">
        <v>3.1E-2</v>
      </c>
      <c r="G141" s="419">
        <v>3.1E-2</v>
      </c>
      <c r="H141" s="83"/>
      <c r="I141" s="464">
        <v>137</v>
      </c>
      <c r="J141" s="406" t="str">
        <f>CONCATENATE(VLOOKUP($I141, '[2]Commissioner Splits'!$A$4:$C$351, 2, FALSE), "     ", VLOOKUP($I141, '[2]Commissioner Splits'!$A$4:$C$351, 3, FALSE))</f>
        <v>Velindre     SRS/SBRT/Cerebral Mets &amp; IGBT</v>
      </c>
      <c r="K141" s="452">
        <f>VLOOKUP($I141, 'Commissioner Splits'!$A$4:$J$351, 5, FALSE)*E141</f>
        <v>3.0565999999999996E-3</v>
      </c>
      <c r="L141" s="380">
        <f>VLOOKUP($I141, 'Commissioner Splits'!$A$4:$J$351, 7, FALSE)*E141</f>
        <v>1.2167500000000001E-2</v>
      </c>
      <c r="M141" s="380">
        <f>VLOOKUP($I141, 'Commissioner Splits'!$A$4:$J$351, 10, FALSE)*E141</f>
        <v>0</v>
      </c>
      <c r="N141" s="380">
        <f>VLOOKUP($I141, 'Commissioner Splits'!$A$4:$J$351, 4, FALSE)*E141</f>
        <v>8.8938999999999997E-3</v>
      </c>
      <c r="O141" s="380">
        <f>VLOOKUP($I141, 'Commissioner Splits'!$A$4:$J$351, 6, FALSE)*E141</f>
        <v>5.7504999999999995E-3</v>
      </c>
      <c r="P141" s="380">
        <f>VLOOKUP($I141, 'Commissioner Splits'!$A$4:$J$351, 8, FALSE)*E141</f>
        <v>4.6809999999999999E-4</v>
      </c>
      <c r="Q141" s="380">
        <f>VLOOKUP($I141, 'Commissioner Splits'!$A$4:$J$351,9, FALSE)*E141</f>
        <v>6.6339999999999997E-4</v>
      </c>
      <c r="R141" s="452">
        <f t="shared" ref="R141" si="35">SUM(K141:Q141)</f>
        <v>3.1E-2</v>
      </c>
    </row>
    <row r="142" spans="1:31" ht="15" customHeight="1" thickBot="1" x14ac:dyDescent="0.25">
      <c r="A142" s="770"/>
      <c r="B142" s="4"/>
      <c r="D142" s="103"/>
      <c r="E142" s="419"/>
      <c r="F142" s="419"/>
      <c r="G142" s="419"/>
      <c r="H142" s="83"/>
      <c r="I142" s="464"/>
      <c r="J142" s="406"/>
      <c r="K142" s="452"/>
      <c r="L142" s="380"/>
      <c r="M142" s="380"/>
      <c r="N142" s="380"/>
      <c r="O142" s="380"/>
      <c r="P142" s="380"/>
      <c r="Q142" s="380"/>
      <c r="R142" s="452"/>
      <c r="S142" s="3"/>
    </row>
    <row r="143" spans="1:31" ht="15" customHeight="1" thickBot="1" x14ac:dyDescent="0.3">
      <c r="A143" s="81"/>
      <c r="B143" s="102" t="s">
        <v>592</v>
      </c>
      <c r="D143" s="103"/>
      <c r="E143" s="60">
        <f>SUM(E21:E142)</f>
        <v>5.4661680802777726</v>
      </c>
      <c r="F143" s="60">
        <f>SUM(F21:F142)</f>
        <v>5.4661680802777726</v>
      </c>
      <c r="G143" s="60">
        <f>SUM(G21:G142)</f>
        <v>5.4661680802777726</v>
      </c>
      <c r="H143" s="83"/>
      <c r="I143" s="415"/>
      <c r="J143" s="409"/>
      <c r="K143" s="410">
        <f t="shared" ref="K143:AE143" si="36">SUM(K21:K142)</f>
        <v>0.63438880079703097</v>
      </c>
      <c r="L143" s="410">
        <f t="shared" si="36"/>
        <v>0.67427772860837509</v>
      </c>
      <c r="M143" s="410">
        <f t="shared" si="36"/>
        <v>1.1760226286250046</v>
      </c>
      <c r="N143" s="410">
        <f t="shared" si="36"/>
        <v>1.4980767328949287</v>
      </c>
      <c r="O143" s="410">
        <f t="shared" si="36"/>
        <v>0.76425571328735564</v>
      </c>
      <c r="P143" s="410">
        <f t="shared" si="36"/>
        <v>0.49129994262964405</v>
      </c>
      <c r="Q143" s="410">
        <f t="shared" si="36"/>
        <v>0.22782435191936423</v>
      </c>
      <c r="R143" s="410">
        <f t="shared" si="36"/>
        <v>5.4661458987616998</v>
      </c>
      <c r="S143" s="410">
        <f t="shared" si="36"/>
        <v>0</v>
      </c>
      <c r="T143" s="410">
        <f t="shared" si="36"/>
        <v>0</v>
      </c>
      <c r="U143" s="410">
        <f t="shared" si="36"/>
        <v>0</v>
      </c>
      <c r="V143" s="410">
        <f t="shared" si="36"/>
        <v>0</v>
      </c>
      <c r="W143" s="410">
        <f t="shared" si="36"/>
        <v>0</v>
      </c>
      <c r="X143" s="410">
        <f t="shared" si="36"/>
        <v>0</v>
      </c>
      <c r="Y143" s="410">
        <f t="shared" si="36"/>
        <v>0</v>
      </c>
      <c r="Z143" s="410">
        <f t="shared" si="36"/>
        <v>0</v>
      </c>
      <c r="AA143" s="410">
        <f t="shared" si="36"/>
        <v>0</v>
      </c>
      <c r="AB143" s="410">
        <f t="shared" si="36"/>
        <v>0</v>
      </c>
      <c r="AC143" s="410">
        <f t="shared" si="36"/>
        <v>0</v>
      </c>
      <c r="AD143" s="410">
        <f t="shared" si="36"/>
        <v>0</v>
      </c>
      <c r="AE143" s="410">
        <f t="shared" si="36"/>
        <v>0</v>
      </c>
    </row>
    <row r="144" spans="1:31" ht="15" customHeight="1" x14ac:dyDescent="0.25">
      <c r="B144" s="4"/>
      <c r="D144" s="103"/>
      <c r="H144" s="83"/>
      <c r="S144" s="3"/>
    </row>
    <row r="145" spans="1:19" ht="15" customHeight="1" thickBot="1" x14ac:dyDescent="0.3">
      <c r="B145" s="28" t="s">
        <v>13</v>
      </c>
      <c r="D145" s="103"/>
      <c r="H145" s="83"/>
      <c r="K145" s="9"/>
      <c r="L145" s="9"/>
      <c r="M145" s="9"/>
      <c r="N145" s="9"/>
      <c r="O145" s="9"/>
      <c r="P145" s="9"/>
      <c r="Q145" s="9"/>
      <c r="R145" s="9"/>
      <c r="S145" s="9"/>
    </row>
    <row r="146" spans="1:19" ht="15" customHeight="1" x14ac:dyDescent="0.25">
      <c r="A146" s="64"/>
      <c r="B146" s="65"/>
      <c r="D146" s="67"/>
      <c r="E146" s="29"/>
      <c r="F146" s="30"/>
      <c r="G146" s="30"/>
      <c r="H146" s="83"/>
      <c r="I146" s="394"/>
      <c r="J146" s="395"/>
      <c r="K146" s="396" t="s">
        <v>0</v>
      </c>
      <c r="L146" s="396" t="s">
        <v>18</v>
      </c>
      <c r="M146" s="396" t="s">
        <v>19</v>
      </c>
      <c r="N146" s="396" t="s">
        <v>20</v>
      </c>
      <c r="O146" s="396" t="s">
        <v>21</v>
      </c>
      <c r="P146" s="396" t="s">
        <v>22</v>
      </c>
      <c r="Q146" s="396" t="s">
        <v>5</v>
      </c>
      <c r="R146" s="397" t="s">
        <v>6</v>
      </c>
      <c r="S146" s="3"/>
    </row>
    <row r="147" spans="1:19" ht="15" customHeight="1" x14ac:dyDescent="0.25">
      <c r="A147" s="72" t="s">
        <v>34</v>
      </c>
      <c r="B147" s="73" t="s">
        <v>117</v>
      </c>
      <c r="D147" s="361" t="s">
        <v>35</v>
      </c>
      <c r="E147" s="38" t="s">
        <v>26</v>
      </c>
      <c r="F147" s="38" t="s">
        <v>151</v>
      </c>
      <c r="G147" s="38" t="s">
        <v>476</v>
      </c>
      <c r="H147" s="83"/>
      <c r="I147" s="398" t="s">
        <v>28</v>
      </c>
      <c r="J147" s="399"/>
      <c r="K147" s="400"/>
      <c r="L147" s="400" t="s">
        <v>29</v>
      </c>
      <c r="M147" s="400" t="s">
        <v>30</v>
      </c>
      <c r="N147" s="400" t="s">
        <v>31</v>
      </c>
      <c r="O147" s="400" t="s">
        <v>32</v>
      </c>
      <c r="P147" s="400" t="s">
        <v>33</v>
      </c>
      <c r="Q147" s="400"/>
      <c r="R147" s="401"/>
      <c r="S147" s="3"/>
    </row>
    <row r="148" spans="1:19" ht="16.5" customHeight="1" thickBot="1" x14ac:dyDescent="0.3">
      <c r="A148" s="75"/>
      <c r="B148" s="75"/>
      <c r="C148" s="76"/>
      <c r="D148" s="77"/>
      <c r="E148" s="41" t="s">
        <v>9</v>
      </c>
      <c r="F148" s="42" t="s">
        <v>9</v>
      </c>
      <c r="G148" s="42" t="s">
        <v>9</v>
      </c>
      <c r="H148" s="83"/>
      <c r="I148" s="402"/>
      <c r="J148" s="403"/>
      <c r="K148" s="404" t="s">
        <v>7</v>
      </c>
      <c r="L148" s="404" t="s">
        <v>7</v>
      </c>
      <c r="M148" s="404" t="s">
        <v>7</v>
      </c>
      <c r="N148" s="404" t="s">
        <v>7</v>
      </c>
      <c r="O148" s="404" t="s">
        <v>7</v>
      </c>
      <c r="P148" s="404" t="s">
        <v>7</v>
      </c>
      <c r="Q148" s="404" t="s">
        <v>8</v>
      </c>
      <c r="R148" s="405"/>
      <c r="S148" s="3"/>
    </row>
    <row r="149" spans="1:19" ht="16.5" customHeight="1" x14ac:dyDescent="0.2">
      <c r="A149" s="437" t="s">
        <v>54</v>
      </c>
      <c r="B149" s="434" t="s">
        <v>122</v>
      </c>
      <c r="C149" s="416"/>
      <c r="D149" s="469" t="s">
        <v>43</v>
      </c>
      <c r="E149" s="438">
        <v>8.5000000000000006E-2</v>
      </c>
      <c r="F149" s="438">
        <v>8.5000000000000006E-2</v>
      </c>
      <c r="G149" s="438">
        <v>8.5000000000000006E-2</v>
      </c>
      <c r="H149" s="83"/>
      <c r="I149" s="470">
        <v>279</v>
      </c>
      <c r="J149" s="406" t="str">
        <f>CONCATENATE(VLOOKUP($I149, '[2]Commissioner Splits'!$A$4:$C$351, 2, FALSE), " - ", VLOOKUP($I149, '[2]Commissioner Splits'!$A$4:$C$351, 3, FALSE))</f>
        <v xml:space="preserve">16/17 Developments - Neuroendocrine Tumours (NETs) 
 </v>
      </c>
      <c r="K149" s="452">
        <f>VLOOKUP($I149, 'Commissioner Splits'!$A$4:$J$351, 5, FALSE)*E149</f>
        <v>1.9069083524647354E-2</v>
      </c>
      <c r="L149" s="380">
        <f>VLOOKUP($I149, 'Commissioner Splits'!$A$4:$J$351, 7, FALSE)*E149</f>
        <v>2.1231455965727616E-2</v>
      </c>
      <c r="M149" s="380">
        <f>VLOOKUP($I149, 'Commissioner Splits'!$A$4:$J$351, 10, FALSE)*E149</f>
        <v>0</v>
      </c>
      <c r="N149" s="380">
        <f>VLOOKUP($I149, 'Commissioner Splits'!$A$4:$J$351, 4, FALSE)*E149</f>
        <v>1.739093585144591E-2</v>
      </c>
      <c r="O149" s="380">
        <f>VLOOKUP($I149, 'Commissioner Splits'!$A$4:$J$351, 6, FALSE)*E149</f>
        <v>1.0793713899900003E-2</v>
      </c>
      <c r="P149" s="380">
        <f>VLOOKUP($I149, 'Commissioner Splits'!$A$4:$J$351, 8, FALSE)*E149</f>
        <v>1.4067255918175202E-2</v>
      </c>
      <c r="Q149" s="380">
        <f>VLOOKUP($I149, 'Commissioner Splits'!$A$4:$J$351,9, FALSE)*E149</f>
        <v>2.4475548401039224E-3</v>
      </c>
      <c r="R149" s="407">
        <f>SUM(K149:Q149)</f>
        <v>8.5000000000000006E-2</v>
      </c>
      <c r="S149" s="3"/>
    </row>
    <row r="150" spans="1:19" ht="16.5" customHeight="1" x14ac:dyDescent="0.2">
      <c r="A150" s="417" t="s">
        <v>54</v>
      </c>
      <c r="B150" s="435" t="s">
        <v>448</v>
      </c>
      <c r="C150" s="418"/>
      <c r="D150" s="471"/>
      <c r="E150" s="439">
        <v>0.1</v>
      </c>
      <c r="F150" s="439">
        <v>0.1</v>
      </c>
      <c r="G150" s="439">
        <v>0.1</v>
      </c>
      <c r="H150" s="83"/>
      <c r="I150" s="470">
        <v>32</v>
      </c>
      <c r="J150" s="406" t="str">
        <f>CONCATENATE(VLOOKUP($I150, '[2]Commissioner Splits'!$A$4:$C$351, 2, FALSE), " - ", VLOOKUP($I150, '[2]Commissioner Splits'!$A$4:$C$351, 3, FALSE))</f>
        <v>Cardiff &amp; Vale - Clinical Immunology</v>
      </c>
      <c r="K150" s="452">
        <f>VLOOKUP($I150, 'Commissioner Splits'!$A$4:$J$351, 5, FALSE)*E150</f>
        <v>2.180978190218098E-2</v>
      </c>
      <c r="L150" s="380">
        <f>VLOOKUP($I150, 'Commissioner Splits'!$A$4:$J$351, 7, FALSE)*E150</f>
        <v>2.4203757962420379E-2</v>
      </c>
      <c r="M150" s="380">
        <f>VLOOKUP($I150, 'Commissioner Splits'!$A$4:$J$351, 10, FALSE)*E150</f>
        <v>0</v>
      </c>
      <c r="N150" s="380">
        <f>VLOOKUP($I150, 'Commissioner Splits'!$A$4:$J$351, 4, FALSE)*E150</f>
        <v>2.009879901200988E-2</v>
      </c>
      <c r="O150" s="380">
        <f>VLOOKUP($I150, 'Commissioner Splits'!$A$4:$J$351, 6, FALSE)*E150</f>
        <v>1.2341876581234189E-2</v>
      </c>
      <c r="P150" s="380">
        <f>VLOOKUP($I150, 'Commissioner Splits'!$A$4:$J$351, 8, FALSE)*E150</f>
        <v>1.6012839871601285E-2</v>
      </c>
      <c r="Q150" s="380">
        <f>VLOOKUP($I150, 'Commissioner Splits'!$A$4:$J$351,9, FALSE)*E150</f>
        <v>5.5329446705532949E-3</v>
      </c>
      <c r="R150" s="407">
        <f>SUM(K150:Q150)</f>
        <v>0.1</v>
      </c>
      <c r="S150" s="3"/>
    </row>
    <row r="151" spans="1:19" ht="16.5" customHeight="1" x14ac:dyDescent="0.2">
      <c r="A151" s="417" t="s">
        <v>54</v>
      </c>
      <c r="B151" s="435" t="s">
        <v>125</v>
      </c>
      <c r="C151" s="418"/>
      <c r="D151" s="471"/>
      <c r="E151" s="439">
        <v>0.4</v>
      </c>
      <c r="F151" s="439">
        <v>0.4</v>
      </c>
      <c r="G151" s="439">
        <v>0.4</v>
      </c>
      <c r="H151" s="83"/>
      <c r="I151" s="470">
        <v>32</v>
      </c>
      <c r="J151" s="406" t="str">
        <f>CONCATENATE(VLOOKUP($I151, '[2]Commissioner Splits'!$A$4:$C$351, 2, FALSE), " - ", VLOOKUP($I151, '[2]Commissioner Splits'!$A$4:$C$351, 3, FALSE))</f>
        <v>Cardiff &amp; Vale - Clinical Immunology</v>
      </c>
      <c r="K151" s="452">
        <f>VLOOKUP($I151, 'Commissioner Splits'!$A$4:$J$351, 5, FALSE)*E151</f>
        <v>8.7239127608723918E-2</v>
      </c>
      <c r="L151" s="380">
        <f>VLOOKUP($I151, 'Commissioner Splits'!$A$4:$J$351, 7, FALSE)*E151</f>
        <v>9.6815031849681515E-2</v>
      </c>
      <c r="M151" s="380">
        <f>VLOOKUP($I151, 'Commissioner Splits'!$A$4:$J$351, 10, FALSE)*E151</f>
        <v>0</v>
      </c>
      <c r="N151" s="380">
        <f>VLOOKUP($I151, 'Commissioner Splits'!$A$4:$J$351, 4, FALSE)*E151</f>
        <v>8.0395196048039519E-2</v>
      </c>
      <c r="O151" s="380">
        <f>VLOOKUP($I151, 'Commissioner Splits'!$A$4:$J$351, 6, FALSE)*E151</f>
        <v>4.9367506324936757E-2</v>
      </c>
      <c r="P151" s="380">
        <f>VLOOKUP($I151, 'Commissioner Splits'!$A$4:$J$351, 8, FALSE)*E151</f>
        <v>6.4051359486405141E-2</v>
      </c>
      <c r="Q151" s="380">
        <f>VLOOKUP($I151, 'Commissioner Splits'!$A$4:$J$351,9, FALSE)*E151</f>
        <v>2.213177868221318E-2</v>
      </c>
      <c r="R151" s="407">
        <f>SUM(K151:Q151)</f>
        <v>0.4</v>
      </c>
      <c r="S151" s="3"/>
    </row>
    <row r="152" spans="1:19" ht="16.5" customHeight="1" x14ac:dyDescent="0.2">
      <c r="A152" s="417" t="s">
        <v>54</v>
      </c>
      <c r="B152" s="435" t="s">
        <v>66</v>
      </c>
      <c r="C152" s="418"/>
      <c r="D152" s="471" t="s">
        <v>43</v>
      </c>
      <c r="E152" s="439">
        <v>0.187</v>
      </c>
      <c r="F152" s="439">
        <v>0.187</v>
      </c>
      <c r="G152" s="439">
        <v>0.187</v>
      </c>
      <c r="H152" s="83"/>
      <c r="I152" s="470">
        <v>24</v>
      </c>
      <c r="J152" s="406" t="str">
        <f>CONCATENATE(VLOOKUP($I152, '[2]Commissioner Splits'!$A$4:$C$351, 2, FALSE), " - ", VLOOKUP($I152, '[2]Commissioner Splits'!$A$4:$C$351, 3, FALSE))</f>
        <v>Cardiff &amp; Vale - Neurosurgery</v>
      </c>
      <c r="K152" s="452">
        <f>VLOOKUP($I152, 'Commissioner Splits'!$A$4:$J$351, 5, FALSE)*E152</f>
        <v>4.2859294928406351E-2</v>
      </c>
      <c r="L152" s="380">
        <f>VLOOKUP($I152, 'Commissioner Splits'!$A$4:$J$351, 7, FALSE)*E152</f>
        <v>4.5471055957365371E-2</v>
      </c>
      <c r="M152" s="380">
        <f>VLOOKUP($I152, 'Commissioner Splits'!$A$4:$J$351, 10, FALSE)*E152</f>
        <v>1.9106218498063867E-4</v>
      </c>
      <c r="N152" s="380">
        <f>VLOOKUP($I152, 'Commissioner Splits'!$A$4:$J$351, 4, FALSE)*E152</f>
        <v>4.4676346536967317E-2</v>
      </c>
      <c r="O152" s="380">
        <f>VLOOKUP($I152, 'Commissioner Splits'!$A$4:$J$351, 6, FALSE)*E152</f>
        <v>2.8607238785169388E-2</v>
      </c>
      <c r="P152" s="380">
        <f>VLOOKUP($I152, 'Commissioner Splits'!$A$4:$J$351, 8, FALSE)*E152</f>
        <v>2.2456251250805238E-2</v>
      </c>
      <c r="Q152" s="380">
        <f>VLOOKUP($I152, 'Commissioner Splits'!$A$4:$J$351,9, FALSE)*E152</f>
        <v>2.7387503563056684E-3</v>
      </c>
      <c r="R152" s="407">
        <f>SUM(K152:Q152)</f>
        <v>0.18699999999999997</v>
      </c>
      <c r="S152" s="3"/>
    </row>
    <row r="153" spans="1:19" ht="16.5" customHeight="1" x14ac:dyDescent="0.2">
      <c r="A153" s="436" t="s">
        <v>52</v>
      </c>
      <c r="B153" s="435" t="s">
        <v>449</v>
      </c>
      <c r="C153" s="418"/>
      <c r="D153" s="471" t="s">
        <v>43</v>
      </c>
      <c r="E153" s="439">
        <v>7.0000000000000007E-2</v>
      </c>
      <c r="F153" s="439">
        <v>7.0000000000000007E-2</v>
      </c>
      <c r="G153" s="439">
        <v>7.0000000000000007E-2</v>
      </c>
      <c r="H153" s="83"/>
      <c r="I153" s="470">
        <v>114</v>
      </c>
      <c r="J153" s="406" t="str">
        <f>CONCATENATE(VLOOKUP($I153, '[2]Commissioner Splits'!$A$4:$C$351, 2, FALSE), " - ", VLOOKUP($I153, '[2]Commissioner Splits'!$A$4:$C$351, 3, FALSE))</f>
        <v>BCU - Cochlear Implants</v>
      </c>
      <c r="K153" s="452">
        <f>VLOOKUP($I153, 'Commissioner Splits'!$A$4:$J$351, 5, FALSE)*E153</f>
        <v>0</v>
      </c>
      <c r="L153" s="380">
        <f>VLOOKUP($I153, 'Commissioner Splits'!$A$4:$J$351, 7, FALSE)*E153</f>
        <v>0</v>
      </c>
      <c r="M153" s="380">
        <f>VLOOKUP($I153, 'Commissioner Splits'!$A$4:$J$351, 10, FALSE)*E153</f>
        <v>7.0000000000000007E-2</v>
      </c>
      <c r="N153" s="380">
        <f>VLOOKUP($I153, 'Commissioner Splits'!$A$4:$J$351, 4, FALSE)*E153</f>
        <v>0</v>
      </c>
      <c r="O153" s="380">
        <f>VLOOKUP($I153, 'Commissioner Splits'!$A$4:$J$351, 6, FALSE)*E153</f>
        <v>0</v>
      </c>
      <c r="P153" s="380">
        <f>VLOOKUP($I153, 'Commissioner Splits'!$A$4:$J$351, 8, FALSE)*E153</f>
        <v>0</v>
      </c>
      <c r="Q153" s="380">
        <f>VLOOKUP($I153, 'Commissioner Splits'!$A$4:$J$351,9, FALSE)*E153</f>
        <v>0</v>
      </c>
      <c r="R153" s="407">
        <f>SUM(K153:Q153)</f>
        <v>7.0000000000000007E-2</v>
      </c>
      <c r="S153" s="3"/>
    </row>
    <row r="154" spans="1:19" ht="16.5" customHeight="1" x14ac:dyDescent="0.2">
      <c r="A154" s="476" t="s">
        <v>418</v>
      </c>
      <c r="B154" s="477" t="s">
        <v>449</v>
      </c>
      <c r="C154" s="478"/>
      <c r="D154" s="479" t="s">
        <v>43</v>
      </c>
      <c r="E154" s="480">
        <v>0.125</v>
      </c>
      <c r="F154" s="480">
        <v>0.125</v>
      </c>
      <c r="G154" s="480">
        <v>0.125</v>
      </c>
      <c r="H154" s="83"/>
      <c r="I154" s="470">
        <v>31</v>
      </c>
      <c r="J154" s="406" t="str">
        <f>CONCATENATE(VLOOKUP($I154, '[2]Commissioner Splits'!$A$4:$C$351, 2, FALSE), " - ", VLOOKUP($I154, '[2]Commissioner Splits'!$A$4:$C$351, 3, FALSE))</f>
        <v>Cardiff &amp; Vale - BAHAS &amp; Cochlears</v>
      </c>
      <c r="K154" s="452">
        <f>VLOOKUP($I154, 'Commissioner Splits'!$A$4:$J$351, 5, FALSE)*E154</f>
        <v>1.7605633802816902E-3</v>
      </c>
      <c r="L154" s="380">
        <f>VLOOKUP($I154, 'Commissioner Splits'!$A$4:$J$351, 7, FALSE)*E154</f>
        <v>3.873239436619718E-2</v>
      </c>
      <c r="M154" s="380">
        <f>VLOOKUP($I154, 'Commissioner Splits'!$A$4:$J$351, 10, FALSE)*E154</f>
        <v>0</v>
      </c>
      <c r="N154" s="380">
        <f>VLOOKUP($I154, 'Commissioner Splits'!$A$4:$J$351, 4, FALSE)*E154</f>
        <v>5.2464788732394366E-2</v>
      </c>
      <c r="O154" s="380">
        <f>VLOOKUP($I154, 'Commissioner Splits'!$A$4:$J$351, 6, FALSE)*E154</f>
        <v>1.4436619718309859E-2</v>
      </c>
      <c r="P154" s="380">
        <f>VLOOKUP($I154, 'Commissioner Splits'!$A$4:$J$351, 8, FALSE)*E154</f>
        <v>1.1267605633802818E-2</v>
      </c>
      <c r="Q154" s="380">
        <f>VLOOKUP($I154, 'Commissioner Splits'!$A$4:$J$351,9, FALSE)*E154</f>
        <v>6.3380281690140847E-3</v>
      </c>
      <c r="R154" s="407">
        <f t="shared" ref="R154" si="37">SUM(K154:Q154)</f>
        <v>0.12499999999999999</v>
      </c>
      <c r="S154" s="3"/>
    </row>
    <row r="155" spans="1:19" ht="16.5" customHeight="1" thickBot="1" x14ac:dyDescent="0.25">
      <c r="A155" s="487" t="s">
        <v>0</v>
      </c>
      <c r="B155" s="506" t="s">
        <v>484</v>
      </c>
      <c r="C155" s="507"/>
      <c r="D155" s="508"/>
      <c r="E155" s="509">
        <f>0.0021*42</f>
        <v>8.8200000000000001E-2</v>
      </c>
      <c r="F155" s="509">
        <f t="shared" ref="F155:G155" si="38">0.0021*42</f>
        <v>8.8200000000000001E-2</v>
      </c>
      <c r="G155" s="509">
        <f t="shared" si="38"/>
        <v>8.8200000000000001E-2</v>
      </c>
      <c r="H155" s="83"/>
      <c r="I155" s="470">
        <v>295</v>
      </c>
      <c r="J155" s="406" t="str">
        <f>CONCATENATE(VLOOKUP($I155, '[2]Commissioner Splits'!$A$4:$C$351, 2, FALSE), " - ", VLOOKUP($I155, '[2]Commissioner Splits'!$A$4:$C$351, 3, FALSE))</f>
        <v>16/17 Developments - LVA evaluation</v>
      </c>
      <c r="K155" s="452">
        <f>VLOOKUP($I155, 'Commissioner Splits'!$A$4:$J$351, 5, FALSE)*E155</f>
        <v>3.9249186557828233E-2</v>
      </c>
      <c r="L155" s="380">
        <f>VLOOKUP($I155, 'Commissioner Splits'!$A$4:$J$351, 7, FALSE)*E155</f>
        <v>1.2850986896025112E-2</v>
      </c>
      <c r="M155" s="380">
        <f>VLOOKUP($I155, 'Commissioner Splits'!$A$4:$J$351, 10, FALSE)*E155</f>
        <v>2.7141736073715508E-4</v>
      </c>
      <c r="N155" s="380">
        <f>VLOOKUP($I155, 'Commissioner Splits'!$A$4:$J$351, 4, FALSE)*E155</f>
        <v>6.4158866302796392E-3</v>
      </c>
      <c r="O155" s="380">
        <f>VLOOKUP($I155, 'Commissioner Splits'!$A$4:$J$351, 6, FALSE)*E155</f>
        <v>8.1175060457834205E-3</v>
      </c>
      <c r="P155" s="380">
        <f>VLOOKUP($I155, 'Commissioner Splits'!$A$4:$J$351, 8, FALSE)*E155</f>
        <v>1.8877342404660231E-2</v>
      </c>
      <c r="Q155" s="380">
        <f>VLOOKUP($I155, 'Commissioner Splits'!$A$4:$J$351,9, FALSE)*E155</f>
        <v>2.4176741046862101E-3</v>
      </c>
      <c r="R155" s="407">
        <f t="shared" ref="R155" si="39">SUM(K155:Q155)</f>
        <v>8.8200000000000001E-2</v>
      </c>
      <c r="S155" s="3"/>
    </row>
    <row r="156" spans="1:19" ht="18" customHeight="1" thickBot="1" x14ac:dyDescent="0.3">
      <c r="A156" s="481"/>
      <c r="B156" s="482" t="s">
        <v>477</v>
      </c>
      <c r="C156" s="483"/>
      <c r="D156" s="87"/>
      <c r="E156" s="60">
        <f>SUM(E149:E155)</f>
        <v>1.0552000000000001</v>
      </c>
      <c r="F156" s="60">
        <f t="shared" ref="F156:G156" si="40">SUM(F149:F155)</f>
        <v>1.0552000000000001</v>
      </c>
      <c r="G156" s="60">
        <f t="shared" si="40"/>
        <v>1.0552000000000001</v>
      </c>
      <c r="H156" s="83"/>
      <c r="I156" s="408"/>
      <c r="J156" s="409"/>
      <c r="K156" s="410">
        <f>SUM(K149:K155)</f>
        <v>0.21198703790206852</v>
      </c>
      <c r="L156" s="410">
        <f t="shared" ref="L156:Q156" si="41">SUM(L149:L155)</f>
        <v>0.2393046829974172</v>
      </c>
      <c r="M156" s="410">
        <f t="shared" si="41"/>
        <v>7.0462479545717799E-2</v>
      </c>
      <c r="N156" s="410">
        <f t="shared" si="41"/>
        <v>0.22144195281113666</v>
      </c>
      <c r="O156" s="410">
        <f t="shared" si="41"/>
        <v>0.1236644613553336</v>
      </c>
      <c r="P156" s="410">
        <f t="shared" si="41"/>
        <v>0.14673265456544993</v>
      </c>
      <c r="Q156" s="410">
        <f t="shared" si="41"/>
        <v>4.1606730822876359E-2</v>
      </c>
      <c r="R156" s="411">
        <f>SUM(R149:AE155)</f>
        <v>1.0551999999999999</v>
      </c>
    </row>
    <row r="157" spans="1:19" x14ac:dyDescent="0.25">
      <c r="A157" s="58"/>
      <c r="B157" s="28"/>
      <c r="D157" s="90"/>
      <c r="E157" s="91"/>
      <c r="F157" s="91"/>
      <c r="G157" s="91"/>
      <c r="H157" s="83"/>
      <c r="I157" s="96"/>
      <c r="J157" s="97"/>
      <c r="K157" s="91"/>
      <c r="L157" s="91"/>
      <c r="M157" s="91"/>
      <c r="N157" s="91"/>
      <c r="O157" s="91"/>
      <c r="P157" s="91"/>
      <c r="Q157" s="91"/>
      <c r="R157" s="91"/>
    </row>
    <row r="158" spans="1:19" hidden="1" x14ac:dyDescent="0.25">
      <c r="A158" s="58"/>
      <c r="B158" s="28"/>
      <c r="D158" s="90"/>
      <c r="E158" s="91"/>
      <c r="F158" s="91"/>
      <c r="G158" s="91"/>
      <c r="H158" s="83"/>
      <c r="I158" s="96"/>
      <c r="J158" s="97"/>
      <c r="K158" s="91"/>
      <c r="L158" s="91"/>
      <c r="M158" s="91"/>
      <c r="N158" s="91"/>
      <c r="O158" s="91"/>
      <c r="P158" s="91"/>
      <c r="Q158" s="91"/>
      <c r="R158" s="91"/>
    </row>
    <row r="159" spans="1:19" hidden="1" x14ac:dyDescent="0.25">
      <c r="A159" s="58"/>
      <c r="B159" s="28"/>
      <c r="D159" s="90"/>
      <c r="E159" s="91"/>
      <c r="F159" s="91"/>
      <c r="G159" s="91"/>
      <c r="H159" s="83"/>
      <c r="I159" s="96"/>
      <c r="J159" s="97"/>
      <c r="K159" s="91"/>
      <c r="L159" s="91"/>
      <c r="M159" s="91"/>
      <c r="N159" s="91"/>
      <c r="O159" s="91"/>
      <c r="P159" s="91"/>
      <c r="Q159" s="91"/>
      <c r="R159" s="91"/>
    </row>
    <row r="160" spans="1:19" hidden="1" x14ac:dyDescent="0.25">
      <c r="A160" s="58"/>
      <c r="B160" s="28"/>
      <c r="D160" s="90"/>
      <c r="E160" s="91"/>
      <c r="F160" s="91"/>
      <c r="G160" s="91"/>
      <c r="H160" s="83"/>
      <c r="I160" s="96"/>
      <c r="J160" s="97"/>
      <c r="K160" s="91"/>
      <c r="L160" s="91"/>
      <c r="M160" s="91"/>
      <c r="N160" s="91"/>
      <c r="O160" s="91"/>
      <c r="P160" s="91"/>
      <c r="Q160" s="91"/>
      <c r="R160" s="91"/>
    </row>
    <row r="161" spans="1:18" hidden="1" x14ac:dyDescent="0.25">
      <c r="A161" s="58"/>
      <c r="B161" s="28"/>
      <c r="D161" s="90"/>
      <c r="E161" s="91"/>
      <c r="F161" s="91"/>
      <c r="G161" s="91"/>
      <c r="H161" s="83"/>
      <c r="I161" s="96"/>
      <c r="J161" s="97"/>
      <c r="K161" s="91"/>
      <c r="L161" s="91"/>
      <c r="M161" s="91"/>
      <c r="N161" s="91"/>
      <c r="O161" s="91"/>
      <c r="P161" s="91"/>
      <c r="Q161" s="91"/>
      <c r="R161" s="91"/>
    </row>
    <row r="162" spans="1:18" hidden="1" x14ac:dyDescent="0.25">
      <c r="A162" s="58"/>
      <c r="B162" s="28"/>
      <c r="D162" s="90"/>
      <c r="E162" s="91"/>
      <c r="F162" s="91"/>
      <c r="G162" s="91"/>
      <c r="H162" s="83"/>
      <c r="I162" s="96"/>
      <c r="J162" s="97"/>
      <c r="K162" s="91"/>
      <c r="L162" s="91"/>
      <c r="M162" s="91"/>
      <c r="N162" s="91"/>
      <c r="O162" s="91"/>
      <c r="P162" s="91"/>
      <c r="Q162" s="91"/>
      <c r="R162" s="91"/>
    </row>
    <row r="163" spans="1:18" hidden="1" x14ac:dyDescent="0.25">
      <c r="A163" s="58"/>
      <c r="B163" s="28"/>
      <c r="D163" s="90"/>
      <c r="E163" s="91"/>
      <c r="F163" s="91"/>
      <c r="G163" s="91"/>
      <c r="H163" s="83"/>
      <c r="I163" s="96"/>
      <c r="J163" s="97"/>
      <c r="K163" s="91"/>
      <c r="L163" s="91"/>
      <c r="M163" s="91"/>
      <c r="N163" s="91"/>
      <c r="O163" s="91"/>
      <c r="P163" s="91"/>
      <c r="Q163" s="91"/>
      <c r="R163" s="91"/>
    </row>
    <row r="164" spans="1:18" ht="29.25" hidden="1" customHeight="1" thickBot="1" x14ac:dyDescent="0.3">
      <c r="C164" s="66"/>
      <c r="H164" s="83"/>
    </row>
    <row r="165" spans="1:18" s="82" customFormat="1" ht="23.25" hidden="1" customHeight="1" thickBot="1" x14ac:dyDescent="0.3">
      <c r="A165" s="2"/>
      <c r="B165" s="28" t="s">
        <v>147</v>
      </c>
      <c r="C165" s="4"/>
      <c r="D165" s="5"/>
      <c r="E165" s="6"/>
      <c r="F165" s="4"/>
      <c r="G165" s="4"/>
      <c r="H165" s="83"/>
      <c r="I165" s="8"/>
      <c r="J165" s="9"/>
      <c r="K165" s="4"/>
      <c r="L165" s="4"/>
      <c r="M165" s="4"/>
      <c r="N165" s="4"/>
      <c r="O165" s="4"/>
      <c r="P165" s="4"/>
      <c r="Q165" s="4"/>
      <c r="R165" s="6"/>
    </row>
    <row r="166" spans="1:18" hidden="1" x14ac:dyDescent="0.25">
      <c r="A166" s="64"/>
      <c r="B166" s="65"/>
      <c r="C166" s="74"/>
      <c r="D166" s="67"/>
      <c r="E166" s="29"/>
      <c r="F166" s="29"/>
      <c r="G166" s="29"/>
      <c r="H166" s="83"/>
      <c r="I166" s="31"/>
      <c r="J166" s="32"/>
      <c r="K166" s="68" t="s">
        <v>0</v>
      </c>
      <c r="L166" s="69" t="s">
        <v>18</v>
      </c>
      <c r="M166" s="69" t="s">
        <v>19</v>
      </c>
      <c r="N166" s="69" t="s">
        <v>20</v>
      </c>
      <c r="O166" s="69" t="s">
        <v>21</v>
      </c>
      <c r="P166" s="70" t="s">
        <v>22</v>
      </c>
      <c r="Q166" s="69" t="s">
        <v>5</v>
      </c>
      <c r="R166" s="71" t="s">
        <v>6</v>
      </c>
    </row>
    <row r="167" spans="1:18" ht="26.25" hidden="1" thickBot="1" x14ac:dyDescent="0.3">
      <c r="A167" s="72" t="s">
        <v>34</v>
      </c>
      <c r="B167" s="73" t="s">
        <v>461</v>
      </c>
      <c r="C167" s="76"/>
      <c r="D167" s="361" t="s">
        <v>35</v>
      </c>
      <c r="E167" s="38" t="s">
        <v>26</v>
      </c>
      <c r="F167" s="38" t="s">
        <v>151</v>
      </c>
      <c r="G167" s="38" t="s">
        <v>476</v>
      </c>
      <c r="H167" s="83"/>
      <c r="I167" s="39" t="s">
        <v>28</v>
      </c>
      <c r="J167" s="40"/>
      <c r="K167" s="33"/>
      <c r="L167" s="34" t="s">
        <v>29</v>
      </c>
      <c r="M167" s="33" t="s">
        <v>30</v>
      </c>
      <c r="N167" s="34" t="s">
        <v>31</v>
      </c>
      <c r="O167" s="35" t="s">
        <v>32</v>
      </c>
      <c r="P167" s="35" t="s">
        <v>33</v>
      </c>
      <c r="Q167" s="34"/>
      <c r="R167" s="36"/>
    </row>
    <row r="168" spans="1:18" ht="13.5" hidden="1" thickBot="1" x14ac:dyDescent="0.3">
      <c r="A168" s="75"/>
      <c r="B168" s="75"/>
      <c r="C168" s="74"/>
      <c r="D168" s="104"/>
      <c r="E168" s="41" t="s">
        <v>9</v>
      </c>
      <c r="F168" s="41" t="s">
        <v>9</v>
      </c>
      <c r="G168" s="41" t="s">
        <v>9</v>
      </c>
      <c r="H168" s="83"/>
      <c r="I168" s="43"/>
      <c r="J168" s="44"/>
      <c r="K168" s="45" t="s">
        <v>7</v>
      </c>
      <c r="L168" s="45" t="s">
        <v>7</v>
      </c>
      <c r="M168" s="45" t="s">
        <v>7</v>
      </c>
      <c r="N168" s="46" t="s">
        <v>7</v>
      </c>
      <c r="O168" s="47" t="s">
        <v>7</v>
      </c>
      <c r="P168" s="45" t="s">
        <v>7</v>
      </c>
      <c r="Q168" s="46" t="s">
        <v>8</v>
      </c>
      <c r="R168" s="48"/>
    </row>
    <row r="169" spans="1:18" ht="13.5" hidden="1" thickBot="1" x14ac:dyDescent="0.25">
      <c r="A169" s="78" t="s">
        <v>54</v>
      </c>
      <c r="B169" s="125" t="s">
        <v>431</v>
      </c>
      <c r="C169" s="105"/>
      <c r="D169" s="433" t="s">
        <v>40</v>
      </c>
      <c r="E169" s="106">
        <v>-0.17499999999999999</v>
      </c>
      <c r="F169" s="106">
        <v>-0.35499999999999998</v>
      </c>
      <c r="G169" s="106">
        <v>-0.35499999999999998</v>
      </c>
      <c r="H169" s="83"/>
      <c r="I169" s="51">
        <v>42</v>
      </c>
      <c r="J169" s="79" t="str">
        <f>CONCATENATE(VLOOKUP($I169, '[2]Commissioner Splits'!$A$4:$C$351, 2, FALSE), " - ", VLOOKUP($I169, '[2]Commissioner Splits'!$A$4:$C$351, 3, FALSE))</f>
        <v>Cardiff &amp; Vale - Spinal Implants</v>
      </c>
      <c r="K169" s="56">
        <f>VLOOKUP($I169, '[2]Commissioner Splits'!$A$4:$J$351, 5, FALSE)*E169</f>
        <v>-2.1108711087110873E-2</v>
      </c>
      <c r="L169" s="56">
        <f>VLOOKUP($I169, '[2]Commissioner Splits'!$A$4:$J$351, 7, FALSE)*E169</f>
        <v>-5.9715847158471586E-2</v>
      </c>
      <c r="M169" s="56">
        <f>VLOOKUP($I169, '[2]Commissioner Splits'!$A$4:$J$351, 10, FALSE)*E169</f>
        <v>0</v>
      </c>
      <c r="N169" s="56">
        <f>VLOOKUP($I169, '[2]Commissioner Splits'!$A$4:$J$351, 4, FALSE)*E169</f>
        <v>-2.9745047450474512E-2</v>
      </c>
      <c r="O169" s="56">
        <f>VLOOKUP($I169, '[2]Commissioner Splits'!$A$4:$J$351, 6, FALSE)*E169</f>
        <v>-2.6145261452614525E-2</v>
      </c>
      <c r="P169" s="56">
        <f>VLOOKUP($I169, '[2]Commissioner Splits'!$A$4:$J$351, 8, FALSE)*E169</f>
        <v>-3.1404064040640403E-2</v>
      </c>
      <c r="Q169" s="56">
        <f>VLOOKUP($I169, '[2]Commissioner Splits'!$A$4:$J$351,9, FALSE)*E169</f>
        <v>-6.8810688106881067E-3</v>
      </c>
      <c r="R169" s="49">
        <f>SUM(K169:Q169)</f>
        <v>-0.17500000000000004</v>
      </c>
    </row>
    <row r="170" spans="1:18" ht="13.5" hidden="1" thickBot="1" x14ac:dyDescent="0.25">
      <c r="A170" s="78" t="s">
        <v>54</v>
      </c>
      <c r="B170" s="127" t="s">
        <v>432</v>
      </c>
      <c r="C170" s="128"/>
      <c r="D170" s="433"/>
      <c r="E170" s="108">
        <v>-1.25</v>
      </c>
      <c r="F170" s="108">
        <v>-1.25</v>
      </c>
      <c r="G170" s="108">
        <v>-1.25</v>
      </c>
      <c r="H170" s="83"/>
      <c r="I170" s="51">
        <v>210</v>
      </c>
      <c r="J170" s="79" t="str">
        <f>CONCATENATE(VLOOKUP($I170, '[2]Commissioner Splits'!$A$4:$C$351, 2, FALSE), " - ", VLOOKUP($I170, '[2]Commissioner Splits'!$A$4:$C$351, 3, FALSE))</f>
        <v>IPM - Forensic Mental Health</v>
      </c>
      <c r="K170" s="56">
        <f>VLOOKUP($I170, '[2]Commissioner Splits'!$A$4:$J$351, 5, FALSE)*E170</f>
        <v>-0.28847383906869645</v>
      </c>
      <c r="L170" s="56">
        <f>VLOOKUP($I170, '[2]Commissioner Splits'!$A$4:$J$351, 7, FALSE)*E170</f>
        <v>-0.13442923542706067</v>
      </c>
      <c r="M170" s="56">
        <f>VLOOKUP($I170, '[2]Commissioner Splits'!$A$4:$J$351, 10, FALSE)*E170</f>
        <v>-0.33975097010788446</v>
      </c>
      <c r="N170" s="56">
        <f>VLOOKUP($I170, '[2]Commissioner Splits'!$A$4:$J$351, 4, FALSE)*E170</f>
        <v>-0.24791053686409961</v>
      </c>
      <c r="O170" s="56">
        <f>VLOOKUP($I170, '[2]Commissioner Splits'!$A$4:$J$351, 6, FALSE)*E170</f>
        <v>-0.11172231461344932</v>
      </c>
      <c r="P170" s="56">
        <f>VLOOKUP($I170, '[2]Commissioner Splits'!$A$4:$J$351, 8, FALSE)*E170</f>
        <v>-6.1617841456654304E-2</v>
      </c>
      <c r="Q170" s="56">
        <f>VLOOKUP($I170, '[2]Commissioner Splits'!$A$4:$J$351,9, FALSE)*E170</f>
        <v>-6.6095262462155135E-2</v>
      </c>
      <c r="R170" s="49">
        <f>SUM(K170:Q170)</f>
        <v>-1.2500000000000002</v>
      </c>
    </row>
    <row r="171" spans="1:18" ht="13.5" hidden="1" thickBot="1" x14ac:dyDescent="0.25">
      <c r="A171" s="107" t="s">
        <v>23</v>
      </c>
      <c r="B171" s="127" t="s">
        <v>430</v>
      </c>
      <c r="C171" s="128"/>
      <c r="D171" s="433"/>
      <c r="E171" s="108">
        <v>-0.39500000000000002</v>
      </c>
      <c r="F171" s="108">
        <v>-0.39500000000000002</v>
      </c>
      <c r="G171" s="108">
        <v>-0.39500000000000002</v>
      </c>
      <c r="H171" s="83"/>
      <c r="I171" s="51"/>
      <c r="J171" s="79" t="s">
        <v>161</v>
      </c>
      <c r="K171" s="56">
        <v>-4.260075E-2</v>
      </c>
      <c r="L171" s="56">
        <v>-4.8111000000000008E-2</v>
      </c>
      <c r="M171" s="56">
        <v>-0.19750000000000001</v>
      </c>
      <c r="N171" s="56">
        <v>-3.8275500000000004E-2</v>
      </c>
      <c r="O171" s="56">
        <v>-2.4766500000000007E-2</v>
      </c>
      <c r="P171" s="56">
        <v>-3.2350500000000004E-2</v>
      </c>
      <c r="Q171" s="56">
        <v>-1.1395750000000001E-2</v>
      </c>
      <c r="R171" s="49">
        <f>SUM(K171:Q171)</f>
        <v>-0.39500000000000002</v>
      </c>
    </row>
    <row r="172" spans="1:18" ht="13.5" hidden="1" thickBot="1" x14ac:dyDescent="0.25">
      <c r="A172" s="107" t="s">
        <v>444</v>
      </c>
      <c r="B172" s="127" t="s">
        <v>160</v>
      </c>
      <c r="C172" s="128"/>
      <c r="D172" s="433"/>
      <c r="E172" s="108">
        <v>-0.08</v>
      </c>
      <c r="F172" s="108">
        <v>-0.08</v>
      </c>
      <c r="G172" s="108">
        <v>-0.08</v>
      </c>
      <c r="H172" s="83"/>
      <c r="I172" s="51">
        <v>191</v>
      </c>
      <c r="J172" s="79" t="str">
        <f>CONCATENATE(VLOOKUP($I172, '[2]Commissioner Splits'!$A$4:$C$351, 2, FALSE), " - ", VLOOKUP($I172, '[2]Commissioner Splits'!$A$4:$C$351, 3, FALSE))</f>
        <v>Non Welsh SLAs - HCS Activity Project</v>
      </c>
      <c r="K172" s="56">
        <f>VLOOKUP($I172, '[2]Commissioner Splits'!$A$4:$J$351, 5, FALSE)*E172</f>
        <v>-8.0510720000000011E-3</v>
      </c>
      <c r="L172" s="56">
        <f>VLOOKUP($I172, '[2]Commissioner Splits'!$A$4:$J$351, 7, FALSE)*E172</f>
        <v>-9.3010720000000005E-3</v>
      </c>
      <c r="M172" s="56">
        <f>VLOOKUP($I172, '[2]Commissioner Splits'!$A$4:$J$351, 10, FALSE)*E172</f>
        <v>-3.1804552E-2</v>
      </c>
      <c r="N172" s="56">
        <f>VLOOKUP($I172, '[2]Commissioner Splits'!$A$4:$J$351, 4, FALSE)*E172</f>
        <v>-8.9198160000000005E-3</v>
      </c>
      <c r="O172" s="56">
        <f>VLOOKUP($I172, '[2]Commissioner Splits'!$A$4:$J$351, 6, FALSE)*E172</f>
        <v>-3.2687440000000001E-3</v>
      </c>
      <c r="P172" s="56">
        <f>VLOOKUP($I172, '[2]Commissioner Splits'!$A$4:$J$351, 8, FALSE)*E172</f>
        <v>-5.8811280000000002E-3</v>
      </c>
      <c r="Q172" s="56">
        <f>VLOOKUP($I172, '[2]Commissioner Splits'!$A$4:$J$351,9, FALSE)*E172</f>
        <v>-1.2773616000000002E-2</v>
      </c>
      <c r="R172" s="49">
        <f>SUM(K172:Q172)</f>
        <v>-0.08</v>
      </c>
    </row>
    <row r="173" spans="1:18" hidden="1" x14ac:dyDescent="0.2">
      <c r="A173" s="425" t="s">
        <v>445</v>
      </c>
      <c r="B173" s="426" t="s">
        <v>446</v>
      </c>
      <c r="C173" s="425"/>
      <c r="D173" s="427"/>
      <c r="E173" s="93">
        <v>-6.9000000000000006E-2</v>
      </c>
      <c r="F173" s="93">
        <v>-6.9000000000000006E-2</v>
      </c>
      <c r="G173" s="93">
        <v>-6.9000000000000006E-2</v>
      </c>
      <c r="H173" s="83"/>
      <c r="I173" s="51">
        <v>267</v>
      </c>
      <c r="J173" s="79" t="str">
        <f>CONCATENATE(VLOOKUP($I173, '[2]Commissioner Splits'!$A$4:$C$351, 2, FALSE), " - ", VLOOKUP($I173, '[2]Commissioner Splits'!$A$4:$C$351, 3, FALSE))</f>
        <v>15/16 Developments - NWIS data validation</v>
      </c>
      <c r="K173" s="56">
        <f>VLOOKUP($I173, '[2]Commissioner Splits'!$A$4:$J$351, 5, FALSE)*E173</f>
        <v>-1.1488500000000002E-2</v>
      </c>
      <c r="L173" s="56">
        <f>VLOOKUP($I173, '[2]Commissioner Splits'!$A$4:$J$351, 7, FALSE)*E173</f>
        <v>-1.2972000000000001E-2</v>
      </c>
      <c r="M173" s="56">
        <f>VLOOKUP($I173, '[2]Commissioner Splits'!$A$4:$J$351, 10, FALSE)*E173</f>
        <v>-1.5745800000000001E-2</v>
      </c>
      <c r="N173" s="56">
        <f>VLOOKUP($I173, '[2]Commissioner Splits'!$A$4:$J$351, 4, FALSE)*E173</f>
        <v>-1.0322400000000002E-2</v>
      </c>
      <c r="O173" s="56">
        <f>VLOOKUP($I173, '[2]Commissioner Splits'!$A$4:$J$351, 6, FALSE)*E173</f>
        <v>-6.6792000000000006E-3</v>
      </c>
      <c r="P173" s="56">
        <f>VLOOKUP($I173, '[2]Commissioner Splits'!$A$4:$J$351, 8, FALSE)*E173</f>
        <v>-8.7216000000000012E-3</v>
      </c>
      <c r="Q173" s="56">
        <f>VLOOKUP($I173, '[2]Commissioner Splits'!$A$4:$J$351,9, FALSE)*E173</f>
        <v>-3.0705000000000003E-3</v>
      </c>
      <c r="R173" s="49">
        <f t="shared" ref="R173:R176" si="42">SUM(K173:Q173)</f>
        <v>-6.9000000000000006E-2</v>
      </c>
    </row>
    <row r="174" spans="1:18" hidden="1" x14ac:dyDescent="0.2">
      <c r="A174" s="54" t="s">
        <v>464</v>
      </c>
      <c r="B174" s="431" t="s">
        <v>462</v>
      </c>
      <c r="C174" s="428"/>
      <c r="D174" s="433"/>
      <c r="E174" s="56">
        <v>-0.54100000000000004</v>
      </c>
      <c r="F174" s="56">
        <v>-0.54100000000000004</v>
      </c>
      <c r="G174" s="56">
        <v>-0.54100000000000004</v>
      </c>
      <c r="H174" s="83"/>
      <c r="I174" s="51">
        <v>266</v>
      </c>
      <c r="J174" s="79" t="str">
        <f>CONCATENATE(VLOOKUP($I174, '[2]Commissioner Splits'!$A$4:$C$351, 2, FALSE), " - ", VLOOKUP($I174, '[2]Commissioner Splits'!$A$4:$C$351, 3, FALSE))</f>
        <v>15/16 Developments - Radio Labelled Therapies</v>
      </c>
      <c r="K174" s="56">
        <f>VLOOKUP($I174, 'Commissioner Splits'!$A$268:K469, 5, FALSE)*E174</f>
        <v>-0.11669370000000001</v>
      </c>
      <c r="L174" s="56">
        <f>VLOOKUP($I174, 'Commissioner Splits'!$A$268:L469, 7, FALSE)*$E174</f>
        <v>-0.1317876</v>
      </c>
      <c r="M174" s="56">
        <f>VLOOKUP($I174, 'Commissioner Splits'!$A$268:M469, 10, FALSE)*$E174</f>
        <v>0</v>
      </c>
      <c r="N174" s="56">
        <f>VLOOKUP($I174, 'Commissioner Splits'!$A$268:N469, 4, FALSE)*$E174</f>
        <v>-0.1048458</v>
      </c>
      <c r="O174" s="56">
        <f>VLOOKUP($I174, 'Commissioner Splits'!$A$268:O469, 6, FALSE)*$E174</f>
        <v>-6.784140000000001E-2</v>
      </c>
      <c r="P174" s="56">
        <f>VLOOKUP($I174, 'Commissioner Splits'!$A$268:P469, 8, FALSE)*$E174</f>
        <v>-8.8615800000000008E-2</v>
      </c>
      <c r="Q174" s="56">
        <f>VLOOKUP($I174, 'Commissioner Splits'!$A$268:Q469, 9, FALSE)*$E174</f>
        <v>-3.1215700000000002E-2</v>
      </c>
      <c r="R174" s="49">
        <f t="shared" si="42"/>
        <v>-0.54099999999999993</v>
      </c>
    </row>
    <row r="175" spans="1:18" hidden="1" x14ac:dyDescent="0.2">
      <c r="A175" s="54" t="s">
        <v>464</v>
      </c>
      <c r="B175" s="429" t="s">
        <v>463</v>
      </c>
      <c r="C175" s="428"/>
      <c r="D175" s="433"/>
      <c r="E175" s="56">
        <v>-0.3</v>
      </c>
      <c r="F175" s="56">
        <v>-0.6</v>
      </c>
      <c r="G175" s="56">
        <v>-0.6</v>
      </c>
      <c r="H175" s="83"/>
      <c r="I175" s="51">
        <v>266</v>
      </c>
      <c r="J175" s="79" t="str">
        <f>CONCATENATE(VLOOKUP($I175, '[2]Commissioner Splits'!$A$4:$C$351, 2, FALSE), " - ", VLOOKUP($I175, '[2]Commissioner Splits'!$A$4:$C$351, 3, FALSE))</f>
        <v>15/16 Developments - Radio Labelled Therapies</v>
      </c>
      <c r="K175" s="56">
        <f>VLOOKUP($I175, 'Commissioner Splits'!$A$268:K470, 5, FALSE)*E175</f>
        <v>-6.4710000000000004E-2</v>
      </c>
      <c r="L175" s="56">
        <f>VLOOKUP($I175, 'Commissioner Splits'!$A$268:L470, 7, FALSE)*$E175</f>
        <v>-7.3080000000000006E-2</v>
      </c>
      <c r="M175" s="56">
        <f>VLOOKUP($I175, 'Commissioner Splits'!$A$268:M470, 10, FALSE)*$E175</f>
        <v>0</v>
      </c>
      <c r="N175" s="56">
        <f>VLOOKUP($I175, 'Commissioner Splits'!$A$268:N470, 4, FALSE)*$E175</f>
        <v>-5.8139999999999997E-2</v>
      </c>
      <c r="O175" s="56">
        <f>VLOOKUP($I175, 'Commissioner Splits'!$A$268:O470, 6, FALSE)*$E175</f>
        <v>-3.7620000000000001E-2</v>
      </c>
      <c r="P175" s="56">
        <f>VLOOKUP($I175, 'Commissioner Splits'!$A$268:P470, 8, FALSE)*$E175</f>
        <v>-4.9139999999999996E-2</v>
      </c>
      <c r="Q175" s="56">
        <f>VLOOKUP($I175, 'Commissioner Splits'!$A$268:Q470, 9, FALSE)*$E175</f>
        <v>-1.7309999999999999E-2</v>
      </c>
      <c r="R175" s="49">
        <f t="shared" si="42"/>
        <v>-0.30000000000000004</v>
      </c>
    </row>
    <row r="176" spans="1:18" ht="13.5" hidden="1" thickBot="1" x14ac:dyDescent="0.25">
      <c r="A176" s="109" t="s">
        <v>54</v>
      </c>
      <c r="B176" s="432" t="s">
        <v>407</v>
      </c>
      <c r="C176" s="430"/>
      <c r="D176" s="433"/>
      <c r="E176" s="56">
        <v>-0.25</v>
      </c>
      <c r="F176" s="110">
        <v>-0.25</v>
      </c>
      <c r="G176" s="110">
        <v>-0.25</v>
      </c>
      <c r="H176" s="83"/>
      <c r="I176" s="94"/>
      <c r="J176" s="79" t="s">
        <v>408</v>
      </c>
      <c r="K176" s="56"/>
      <c r="L176" s="56">
        <v>-0.1575</v>
      </c>
      <c r="M176" s="56"/>
      <c r="N176" s="56"/>
      <c r="O176" s="56">
        <v>-9.2499999999999999E-2</v>
      </c>
      <c r="P176" s="56"/>
      <c r="Q176" s="56"/>
      <c r="R176" s="49">
        <f t="shared" si="42"/>
        <v>-0.25</v>
      </c>
    </row>
    <row r="177" spans="1:18" ht="13.5" hidden="1" thickBot="1" x14ac:dyDescent="0.3">
      <c r="A177" s="81"/>
      <c r="B177" s="102"/>
      <c r="D177" s="87"/>
      <c r="E177" s="60">
        <f>SUM(E169:E176)</f>
        <v>-3.06</v>
      </c>
      <c r="F177" s="60">
        <f t="shared" ref="F177:G177" si="43">SUM(F169:F176)</f>
        <v>-3.54</v>
      </c>
      <c r="G177" s="60">
        <f t="shared" si="43"/>
        <v>-3.54</v>
      </c>
      <c r="H177" s="83"/>
      <c r="I177" s="88"/>
      <c r="J177" s="89"/>
      <c r="K177" s="60">
        <f>SUM(K169:K176)</f>
        <v>-0.55312657215580741</v>
      </c>
      <c r="L177" s="60">
        <f t="shared" ref="L177:R177" si="44">SUM(L169:L176)</f>
        <v>-0.62689675458553229</v>
      </c>
      <c r="M177" s="60">
        <f t="shared" si="44"/>
        <v>-0.58480132210788449</v>
      </c>
      <c r="N177" s="60">
        <f t="shared" si="44"/>
        <v>-0.49815910031457411</v>
      </c>
      <c r="O177" s="60">
        <f t="shared" si="44"/>
        <v>-0.37054342006606378</v>
      </c>
      <c r="P177" s="60">
        <f t="shared" si="44"/>
        <v>-0.27773093349729477</v>
      </c>
      <c r="Q177" s="60">
        <f t="shared" si="44"/>
        <v>-0.14874189727284323</v>
      </c>
      <c r="R177" s="60">
        <f t="shared" si="44"/>
        <v>-3.0600000000000005</v>
      </c>
    </row>
    <row r="178" spans="1:18" hidden="1" x14ac:dyDescent="0.25"/>
    <row r="179" spans="1:18" hidden="1" x14ac:dyDescent="0.25">
      <c r="B179" s="28" t="s">
        <v>189</v>
      </c>
      <c r="H179" s="83"/>
      <c r="R179" s="4"/>
    </row>
    <row r="180" spans="1:18" hidden="1" x14ac:dyDescent="0.25">
      <c r="A180" s="64"/>
      <c r="B180" s="65"/>
      <c r="C180" s="66"/>
      <c r="D180" s="67"/>
      <c r="E180" s="29"/>
      <c r="F180" s="29"/>
      <c r="G180" s="29"/>
      <c r="H180" s="83"/>
      <c r="I180" s="31"/>
      <c r="J180" s="32"/>
      <c r="K180" s="68" t="s">
        <v>0</v>
      </c>
      <c r="L180" s="69" t="s">
        <v>18</v>
      </c>
      <c r="M180" s="69" t="s">
        <v>19</v>
      </c>
      <c r="N180" s="69" t="s">
        <v>20</v>
      </c>
      <c r="O180" s="69" t="s">
        <v>21</v>
      </c>
      <c r="P180" s="70" t="s">
        <v>22</v>
      </c>
      <c r="Q180" s="69" t="s">
        <v>5</v>
      </c>
      <c r="R180" s="69" t="s">
        <v>6</v>
      </c>
    </row>
    <row r="181" spans="1:18" ht="25.5" hidden="1" x14ac:dyDescent="0.25">
      <c r="A181" s="72" t="s">
        <v>34</v>
      </c>
      <c r="B181" s="73" t="s">
        <v>139</v>
      </c>
      <c r="C181" s="74"/>
      <c r="D181" s="361" t="s">
        <v>35</v>
      </c>
      <c r="E181" s="38" t="s">
        <v>26</v>
      </c>
      <c r="F181" s="38" t="s">
        <v>151</v>
      </c>
      <c r="G181" s="38" t="s">
        <v>476</v>
      </c>
      <c r="H181" s="83"/>
      <c r="I181" s="39" t="s">
        <v>28</v>
      </c>
      <c r="J181" s="40"/>
      <c r="K181" s="33"/>
      <c r="L181" s="34" t="s">
        <v>29</v>
      </c>
      <c r="M181" s="33" t="s">
        <v>30</v>
      </c>
      <c r="N181" s="34" t="s">
        <v>31</v>
      </c>
      <c r="O181" s="35" t="s">
        <v>32</v>
      </c>
      <c r="P181" s="35" t="s">
        <v>33</v>
      </c>
      <c r="Q181" s="34"/>
      <c r="R181" s="34"/>
    </row>
    <row r="182" spans="1:18" ht="13.5" hidden="1" thickBot="1" x14ac:dyDescent="0.3">
      <c r="A182" s="75"/>
      <c r="B182" s="75"/>
      <c r="C182" s="76"/>
      <c r="D182" s="104"/>
      <c r="E182" s="41" t="s">
        <v>9</v>
      </c>
      <c r="F182" s="41" t="s">
        <v>9</v>
      </c>
      <c r="G182" s="41" t="s">
        <v>9</v>
      </c>
      <c r="H182" s="83"/>
      <c r="I182" s="43"/>
      <c r="J182" s="44"/>
      <c r="K182" s="45" t="s">
        <v>7</v>
      </c>
      <c r="L182" s="45" t="s">
        <v>7</v>
      </c>
      <c r="M182" s="45" t="s">
        <v>7</v>
      </c>
      <c r="N182" s="46" t="s">
        <v>7</v>
      </c>
      <c r="O182" s="47" t="s">
        <v>7</v>
      </c>
      <c r="P182" s="45" t="s">
        <v>7</v>
      </c>
      <c r="Q182" s="46" t="s">
        <v>8</v>
      </c>
      <c r="R182" s="46"/>
    </row>
    <row r="183" spans="1:18" hidden="1" x14ac:dyDescent="0.2">
      <c r="A183" s="370" t="s">
        <v>36</v>
      </c>
      <c r="B183" s="371" t="s">
        <v>468</v>
      </c>
      <c r="C183" s="372"/>
      <c r="D183" s="373" t="s">
        <v>40</v>
      </c>
      <c r="E183" s="374">
        <v>0.4</v>
      </c>
      <c r="F183" s="374"/>
      <c r="G183" s="375"/>
      <c r="H183" s="83"/>
      <c r="I183" s="472">
        <v>207</v>
      </c>
      <c r="J183" s="79" t="str">
        <f>CONCATENATE(VLOOKUP($I183, '[2]Commissioner Splits'!$A$4:$C$351, 2, FALSE), " - ", VLOOKUP($I183, '[2]Commissioner Splits'!$A$4:$C$351, 3, FALSE))</f>
        <v>IPM - HPN</v>
      </c>
      <c r="K183" s="56">
        <f>VLOOKUP($I183, '[2]Commissioner Splits'!$A$4:$J$351, 5, FALSE)*E183</f>
        <v>3.0022092612891401E-2</v>
      </c>
      <c r="L183" s="56">
        <f>VLOOKUP($I183, '[2]Commissioner Splits'!$A$4:$J$351, 7, FALSE)*E183</f>
        <v>9.0763670143182318E-2</v>
      </c>
      <c r="M183" s="56">
        <f>VLOOKUP($I183, '[2]Commissioner Splits'!$A$4:$J$351, 10, FALSE)*E183</f>
        <v>4.0402547995029819E-2</v>
      </c>
      <c r="N183" s="56">
        <f>VLOOKUP($I183, '[2]Commissioner Splits'!$A$4:$J$351, 4, FALSE)*E183</f>
        <v>0.1409837209096613</v>
      </c>
      <c r="O183" s="56">
        <f>VLOOKUP($I183, '[2]Commissioner Splits'!$A$4:$J$351, 6, FALSE)*E183</f>
        <v>6.2122892012819189E-2</v>
      </c>
      <c r="P183" s="56">
        <f>VLOOKUP($I183, '[2]Commissioner Splits'!$A$4:$J$351, 8, FALSE)*E183</f>
        <v>2.8787853116086455E-2</v>
      </c>
      <c r="Q183" s="56">
        <f>VLOOKUP($I183, '[2]Commissioner Splits'!$A$4:$J$351,9, FALSE)*E183</f>
        <v>6.9172232103295291E-3</v>
      </c>
      <c r="R183" s="49">
        <f t="shared" ref="R183:R193" si="45">SUM(K183:Q183)</f>
        <v>0.39999999999999997</v>
      </c>
    </row>
    <row r="184" spans="1:18" ht="25.5" hidden="1" x14ac:dyDescent="0.2">
      <c r="A184" s="454" t="s">
        <v>36</v>
      </c>
      <c r="B184" s="455" t="s">
        <v>339</v>
      </c>
      <c r="C184" s="378"/>
      <c r="D184" s="379" t="s">
        <v>43</v>
      </c>
      <c r="E184" s="458">
        <v>0.8</v>
      </c>
      <c r="F184" s="380"/>
      <c r="G184" s="381"/>
      <c r="H184" s="83"/>
      <c r="I184" s="473">
        <v>202</v>
      </c>
      <c r="J184" s="79" t="str">
        <f>CONCATENATE(VLOOKUP($I184, '[2]Commissioner Splits'!$A$4:$C$351, 2, FALSE), " - ", VLOOKUP($I184, '[2]Commissioner Splits'!$A$4:$C$351, 3, FALSE))</f>
        <v>IPM - Eculizumab</v>
      </c>
      <c r="K184" s="56">
        <f>VLOOKUP($I184, '[2]Commissioner Splits'!$A$4:$J$351, 5, FALSE)*E184</f>
        <v>0.14050537803505145</v>
      </c>
      <c r="L184" s="56">
        <f>VLOOKUP($I184, '[2]Commissioner Splits'!$A$4:$J$351, 7, FALSE)*E184</f>
        <v>4.5290818275084813E-2</v>
      </c>
      <c r="M184" s="56">
        <f>VLOOKUP($I184, '[2]Commissioner Splits'!$A$4:$J$351, 10, FALSE)*E184</f>
        <v>0.27172194472942585</v>
      </c>
      <c r="N184" s="56">
        <f>VLOOKUP($I184, '[2]Commissioner Splits'!$A$4:$J$351, 4, FALSE)*E184</f>
        <v>5.6613522843856012E-2</v>
      </c>
      <c r="O184" s="56">
        <f>VLOOKUP($I184, '[2]Commissioner Splits'!$A$4:$J$351, 6, FALSE)*E184</f>
        <v>0.1357975692130271</v>
      </c>
      <c r="P184" s="56">
        <f>VLOOKUP($I184, '[2]Commissioner Splits'!$A$4:$J$351, 8, FALSE)*E184</f>
        <v>0.10238360903719568</v>
      </c>
      <c r="Q184" s="56">
        <f>VLOOKUP($I184, '[2]Commissioner Splits'!$A$4:$J$351,9, FALSE)*E184</f>
        <v>4.7687157866359138E-2</v>
      </c>
      <c r="R184" s="49">
        <f t="shared" si="45"/>
        <v>0.8</v>
      </c>
    </row>
    <row r="185" spans="1:18" ht="25.5" hidden="1" x14ac:dyDescent="0.2">
      <c r="A185" s="454" t="s">
        <v>418</v>
      </c>
      <c r="B185" s="455" t="s">
        <v>78</v>
      </c>
      <c r="C185" s="378"/>
      <c r="D185" s="379" t="s">
        <v>141</v>
      </c>
      <c r="E185" s="458">
        <v>9.8000000000000004E-2</v>
      </c>
      <c r="F185" s="456"/>
      <c r="G185" s="457"/>
      <c r="H185" s="83"/>
      <c r="I185" s="473">
        <v>275</v>
      </c>
      <c r="J185" s="79" t="str">
        <f>CONCATENATE(VLOOKUP($I185, '[2]Commissioner Splits'!$A$4:$C$351, 2, FALSE), " - ", VLOOKUP($I185, '[2]Commissioner Splits'!$A$4:$C$351, 3, FALSE))</f>
        <v>16/17 Developments - Ataluren NS Duchene Muscular Dystrophy</v>
      </c>
      <c r="K185" s="56">
        <f>VLOOKUP($I185, '[2]Commissioner Splits'!$A$4:$J$351, 5, FALSE)*E185</f>
        <v>1.6317000000000002E-2</v>
      </c>
      <c r="L185" s="56">
        <f>VLOOKUP($I185, '[2]Commissioner Splits'!$A$4:$J$351, 7, FALSE)*E185</f>
        <v>1.8423999999999999E-2</v>
      </c>
      <c r="M185" s="56">
        <f>VLOOKUP($I185, '[2]Commissioner Splits'!$A$4:$J$351, 10, FALSE)*E185</f>
        <v>2.2363600000000001E-2</v>
      </c>
      <c r="N185" s="56">
        <f>VLOOKUP($I185, '[2]Commissioner Splits'!$A$4:$J$351, 4, FALSE)*E185</f>
        <v>1.4660800000000002E-2</v>
      </c>
      <c r="O185" s="56">
        <f>VLOOKUP($I185, '[2]Commissioner Splits'!$A$4:$J$351, 6, FALSE)*E185</f>
        <v>9.4864000000000007E-3</v>
      </c>
      <c r="P185" s="56">
        <f>VLOOKUP($I185, '[2]Commissioner Splits'!$A$4:$J$351, 8, FALSE)*E185</f>
        <v>1.2387200000000001E-2</v>
      </c>
      <c r="Q185" s="56">
        <f>VLOOKUP($I185, '[2]Commissioner Splits'!$A$4:$J$351,9, FALSE)*E185</f>
        <v>4.3610000000000003E-3</v>
      </c>
      <c r="R185" s="49">
        <f t="shared" si="45"/>
        <v>9.8000000000000018E-2</v>
      </c>
    </row>
    <row r="186" spans="1:18" hidden="1" x14ac:dyDescent="0.2">
      <c r="A186" s="382" t="s">
        <v>54</v>
      </c>
      <c r="B186" s="455" t="s">
        <v>218</v>
      </c>
      <c r="C186" s="459"/>
      <c r="D186" s="460"/>
      <c r="E186" s="458">
        <v>0.2</v>
      </c>
      <c r="F186" s="461"/>
      <c r="G186" s="462"/>
      <c r="H186" s="83"/>
      <c r="I186" s="473">
        <v>52</v>
      </c>
      <c r="J186" s="79" t="str">
        <f>CONCATENATE(VLOOKUP($I186, '[2]Commissioner Splits'!$A$4:$C$351, 2, FALSE), " - ", VLOOKUP($I186, '[2]Commissioner Splits'!$A$4:$C$351, 3, FALSE))</f>
        <v>Cardiff &amp; Vale - ISAT - Coils</v>
      </c>
      <c r="K186" s="56">
        <f>VLOOKUP($I186, '[2]Commissioner Splits'!$A$4:$J$351, 5, FALSE)*E186</f>
        <v>5.7176000000000005E-2</v>
      </c>
      <c r="L186" s="56">
        <f>VLOOKUP($I186, '[2]Commissioner Splits'!$A$4:$J$351, 7, FALSE)*E186</f>
        <v>4.8562000000000001E-2</v>
      </c>
      <c r="M186" s="56">
        <f>VLOOKUP($I186, '[2]Commissioner Splits'!$A$4:$J$351, 10, FALSE)*E186</f>
        <v>0</v>
      </c>
      <c r="N186" s="56">
        <f>VLOOKUP($I186, '[2]Commissioner Splits'!$A$4:$J$351, 4, FALSE)*E186</f>
        <v>3.5320000000000004E-2</v>
      </c>
      <c r="O186" s="56">
        <f>VLOOKUP($I186, '[2]Commissioner Splits'!$A$4:$J$351, 6, FALSE)*E186</f>
        <v>2.5956000000000003E-2</v>
      </c>
      <c r="P186" s="56">
        <f>VLOOKUP($I186, '[2]Commissioner Splits'!$A$4:$J$351, 8, FALSE)*E186</f>
        <v>3.2528000000000001E-2</v>
      </c>
      <c r="Q186" s="56">
        <f>VLOOKUP($I186, '[2]Commissioner Splits'!$A$4:$J$351,9, FALSE)*E186</f>
        <v>4.5800000000000002E-4</v>
      </c>
      <c r="R186" s="49">
        <f t="shared" si="45"/>
        <v>0.2</v>
      </c>
    </row>
    <row r="187" spans="1:18" ht="25.5" hidden="1" x14ac:dyDescent="0.2">
      <c r="A187" s="454" t="s">
        <v>418</v>
      </c>
      <c r="B187" s="455" t="s">
        <v>419</v>
      </c>
      <c r="C187" s="459"/>
      <c r="D187" s="460"/>
      <c r="E187" s="458">
        <v>0.14499999999999999</v>
      </c>
      <c r="F187" s="461"/>
      <c r="G187" s="462"/>
      <c r="H187" s="83"/>
      <c r="I187" s="473">
        <v>275</v>
      </c>
      <c r="J187" s="79" t="str">
        <f>CONCATENATE(VLOOKUP($I187, '[2]Commissioner Splits'!$A$4:$C$351, 2, FALSE), " - ", VLOOKUP($I187, '[2]Commissioner Splits'!$A$4:$C$351, 3, FALSE))</f>
        <v>16/17 Developments - Ataluren NS Duchene Muscular Dystrophy</v>
      </c>
      <c r="K187" s="56">
        <f>VLOOKUP($I187, '[2]Commissioner Splits'!$A$4:$J$351, 5, FALSE)*E187</f>
        <v>2.4142500000000001E-2</v>
      </c>
      <c r="L187" s="56">
        <f>VLOOKUP($I187, '[2]Commissioner Splits'!$A$4:$J$351, 7, FALSE)*E187</f>
        <v>2.726E-2</v>
      </c>
      <c r="M187" s="56">
        <f>VLOOKUP($I187, '[2]Commissioner Splits'!$A$4:$J$351, 10, FALSE)*E187</f>
        <v>3.3088999999999993E-2</v>
      </c>
      <c r="N187" s="56">
        <f>VLOOKUP($I187, '[2]Commissioner Splits'!$A$4:$J$351, 4, FALSE)*E187</f>
        <v>2.1691999999999999E-2</v>
      </c>
      <c r="O187" s="56">
        <f>VLOOKUP($I187, '[2]Commissioner Splits'!$A$4:$J$351, 6, FALSE)*E187</f>
        <v>1.4035999999999998E-2</v>
      </c>
      <c r="P187" s="56">
        <f>VLOOKUP($I187, '[2]Commissioner Splits'!$A$4:$J$351, 8, FALSE)*E187</f>
        <v>1.8328000000000001E-2</v>
      </c>
      <c r="Q187" s="56">
        <f>VLOOKUP($I187, '[2]Commissioner Splits'!$A$4:$J$351,9, FALSE)*E187</f>
        <v>6.452499999999999E-3</v>
      </c>
      <c r="R187" s="49">
        <f t="shared" si="45"/>
        <v>0.14499999999999999</v>
      </c>
    </row>
    <row r="188" spans="1:18" hidden="1" x14ac:dyDescent="0.2">
      <c r="A188" s="454" t="s">
        <v>36</v>
      </c>
      <c r="B188" s="455" t="s">
        <v>140</v>
      </c>
      <c r="C188" s="459"/>
      <c r="D188" s="460"/>
      <c r="E188" s="458">
        <v>1.6</v>
      </c>
      <c r="F188" s="461"/>
      <c r="G188" s="462"/>
      <c r="H188" s="83"/>
      <c r="I188" s="473">
        <v>205</v>
      </c>
      <c r="J188" s="79" t="str">
        <f>CONCATENATE(VLOOKUP($I188, '[2]Commissioner Splits'!$A$4:$C$351, 2, FALSE), " - ", VLOOKUP($I188, '[2]Commissioner Splits'!$A$4:$C$351, 3, FALSE))</f>
        <v>IPM - ERT</v>
      </c>
      <c r="K188" s="56">
        <f>VLOOKUP($I188, '[2]Commissioner Splits'!$A$4:$J$351, 5, FALSE)*E188</f>
        <v>0.20341097313417858</v>
      </c>
      <c r="L188" s="56">
        <f>VLOOKUP($I188, '[2]Commissioner Splits'!$A$4:$J$351, 7, FALSE)*E188</f>
        <v>0.62575083788509178</v>
      </c>
      <c r="M188" s="56">
        <f>VLOOKUP($I188, '[2]Commissioner Splits'!$A$4:$J$351, 10, FALSE)*E188</f>
        <v>3.2639674406191928E-2</v>
      </c>
      <c r="N188" s="56">
        <f>VLOOKUP($I188, '[2]Commissioner Splits'!$A$4:$J$351, 4, FALSE)*E188</f>
        <v>0.29173014587510288</v>
      </c>
      <c r="O188" s="56">
        <f>VLOOKUP($I188, '[2]Commissioner Splits'!$A$4:$J$351, 6, FALSE)*E188</f>
        <v>0.26336953278356268</v>
      </c>
      <c r="P188" s="56">
        <f>VLOOKUP($I188, '[2]Commissioner Splits'!$A$4:$J$351, 8, FALSE)*E188</f>
        <v>0.16048334951439525</v>
      </c>
      <c r="Q188" s="56">
        <f>VLOOKUP($I188, '[2]Commissioner Splits'!$A$4:$J$351,9, FALSE)*E188</f>
        <v>2.2615486401476953E-2</v>
      </c>
      <c r="R188" s="49">
        <f t="shared" si="45"/>
        <v>1.6</v>
      </c>
    </row>
    <row r="189" spans="1:18" ht="25.5" hidden="1" x14ac:dyDescent="0.2">
      <c r="A189" s="454" t="s">
        <v>414</v>
      </c>
      <c r="B189" s="455" t="s">
        <v>427</v>
      </c>
      <c r="C189" s="463" t="s">
        <v>40</v>
      </c>
      <c r="D189" s="463" t="s">
        <v>150</v>
      </c>
      <c r="E189" s="458">
        <v>0.16300000000000001</v>
      </c>
      <c r="F189" s="461"/>
      <c r="G189" s="462"/>
      <c r="H189" s="83"/>
      <c r="I189" s="473">
        <v>271</v>
      </c>
      <c r="J189" s="79" t="str">
        <f>CONCATENATE(VLOOKUP($I189, '[2]Commissioner Splits'!$A$4:$C$351, 2, FALSE), " - ", VLOOKUP($I189, '[2]Commissioner Splits'!$A$4:$C$351, 3, FALSE))</f>
        <v>16/17 Developments - Cystic fibrosis - Ivacaftor NONG551D (AWMSG)</v>
      </c>
      <c r="K189" s="56">
        <f>VLOOKUP($I189, '[2]Commissioner Splits'!$A$4:$J$351, 5, FALSE)*E189</f>
        <v>2.7139500000000004E-2</v>
      </c>
      <c r="L189" s="56">
        <f>VLOOKUP($I189, '[2]Commissioner Splits'!$A$4:$J$351, 7, FALSE)*E189</f>
        <v>3.0644000000000001E-2</v>
      </c>
      <c r="M189" s="56">
        <f>VLOOKUP($I189, '[2]Commissioner Splits'!$A$4:$J$351, 10, FALSE)*E189</f>
        <v>3.7196599999999996E-2</v>
      </c>
      <c r="N189" s="56">
        <f>VLOOKUP($I189, '[2]Commissioner Splits'!$A$4:$J$351, 4, FALSE)*E189</f>
        <v>2.4384800000000002E-2</v>
      </c>
      <c r="O189" s="56">
        <f>VLOOKUP($I189, '[2]Commissioner Splits'!$A$4:$J$351, 6, FALSE)*E189</f>
        <v>1.5778400000000001E-2</v>
      </c>
      <c r="P189" s="56">
        <f>VLOOKUP($I189, '[2]Commissioner Splits'!$A$4:$J$351, 8, FALSE)*E189</f>
        <v>2.0603200000000002E-2</v>
      </c>
      <c r="Q189" s="56">
        <f>VLOOKUP($I189, '[2]Commissioner Splits'!$A$4:$J$351,9, FALSE)*E189</f>
        <v>7.2534999999999995E-3</v>
      </c>
      <c r="R189" s="49">
        <f t="shared" si="45"/>
        <v>0.16300000000000001</v>
      </c>
    </row>
    <row r="190" spans="1:18" ht="25.5" hidden="1" x14ac:dyDescent="0.2">
      <c r="A190" s="454" t="s">
        <v>414</v>
      </c>
      <c r="B190" s="455" t="s">
        <v>428</v>
      </c>
      <c r="C190" s="378"/>
      <c r="D190" s="379" t="s">
        <v>43</v>
      </c>
      <c r="E190" s="458">
        <v>0.7</v>
      </c>
      <c r="F190" s="385"/>
      <c r="G190" s="386"/>
      <c r="H190" s="83"/>
      <c r="I190" s="473">
        <v>271</v>
      </c>
      <c r="J190" s="79" t="str">
        <f>CONCATENATE(VLOOKUP($I190, '[2]Commissioner Splits'!$A$4:$C$351, 2, FALSE), " - ", VLOOKUP($I190, '[2]Commissioner Splits'!$A$4:$C$351, 3, FALSE))</f>
        <v>16/17 Developments - Cystic fibrosis - Ivacaftor NONG551D (AWMSG)</v>
      </c>
      <c r="K190" s="56">
        <f>VLOOKUP($I190, '[2]Commissioner Splits'!$A$4:$J$351, 5, FALSE)*E190</f>
        <v>0.11655</v>
      </c>
      <c r="L190" s="56">
        <f>VLOOKUP($I190, '[2]Commissioner Splits'!$A$4:$J$351, 7, FALSE)*E190</f>
        <v>0.13159999999999999</v>
      </c>
      <c r="M190" s="56">
        <f>VLOOKUP($I190, '[2]Commissioner Splits'!$A$4:$J$351, 10, FALSE)*E190</f>
        <v>0.15973999999999999</v>
      </c>
      <c r="N190" s="56">
        <f>VLOOKUP($I190, '[2]Commissioner Splits'!$A$4:$J$351, 4, FALSE)*E190</f>
        <v>0.10472000000000001</v>
      </c>
      <c r="O190" s="56">
        <f>VLOOKUP($I190, '[2]Commissioner Splits'!$A$4:$J$351, 6, FALSE)*E190</f>
        <v>6.7759999999999987E-2</v>
      </c>
      <c r="P190" s="56">
        <f>VLOOKUP($I190, '[2]Commissioner Splits'!$A$4:$J$351, 8, FALSE)*E190</f>
        <v>8.8480000000000003E-2</v>
      </c>
      <c r="Q190" s="56">
        <f>VLOOKUP($I190, '[2]Commissioner Splits'!$A$4:$J$351,9, FALSE)*E190</f>
        <v>3.1149999999999997E-2</v>
      </c>
      <c r="R190" s="49">
        <f t="shared" si="45"/>
        <v>0.70000000000000007</v>
      </c>
    </row>
    <row r="191" spans="1:18" ht="25.5" hidden="1" x14ac:dyDescent="0.2">
      <c r="A191" s="454" t="s">
        <v>429</v>
      </c>
      <c r="B191" s="393" t="s">
        <v>130</v>
      </c>
      <c r="C191" s="378"/>
      <c r="D191" s="379" t="s">
        <v>43</v>
      </c>
      <c r="E191" s="464">
        <v>0.15</v>
      </c>
      <c r="F191" s="385"/>
      <c r="G191" s="386"/>
      <c r="H191" s="83"/>
      <c r="I191" s="473">
        <v>276</v>
      </c>
      <c r="J191" s="79" t="str">
        <f>CONCATENATE(VLOOKUP($I191, '[2]Commissioner Splits'!$A$4:$C$351, 2, FALSE), " - ", VLOOKUP($I191, '[2]Commissioner Splits'!$A$4:$C$351, 3, FALSE))</f>
        <v>16/17 Developments - Asfotase Alfa - HPP ERT</v>
      </c>
      <c r="K191" s="56">
        <f>VLOOKUP($I191, '[2]Commissioner Splits'!$A$4:$J$351, 5, FALSE)*E191</f>
        <v>2.4975000000000001E-2</v>
      </c>
      <c r="L191" s="56">
        <f>VLOOKUP($I191, '[2]Commissioner Splits'!$A$4:$J$351, 7, FALSE)*E191</f>
        <v>2.8199999999999999E-2</v>
      </c>
      <c r="M191" s="56">
        <f>VLOOKUP($I191, '[2]Commissioner Splits'!$A$4:$J$351, 10, FALSE)*E191</f>
        <v>3.4229999999999997E-2</v>
      </c>
      <c r="N191" s="56">
        <f>VLOOKUP($I191, '[2]Commissioner Splits'!$A$4:$J$351, 4, FALSE)*E191</f>
        <v>2.2440000000000002E-2</v>
      </c>
      <c r="O191" s="56">
        <f>VLOOKUP($I191, '[2]Commissioner Splits'!$A$4:$J$351, 6, FALSE)*E191</f>
        <v>1.4519999999999998E-2</v>
      </c>
      <c r="P191" s="56">
        <f>VLOOKUP($I191, '[2]Commissioner Splits'!$A$4:$J$351, 8, FALSE)*E191</f>
        <v>1.8960000000000001E-2</v>
      </c>
      <c r="Q191" s="56">
        <f>VLOOKUP($I191, '[2]Commissioner Splits'!$A$4:$J$351,9, FALSE)*E191</f>
        <v>6.6749999999999995E-3</v>
      </c>
      <c r="R191" s="49">
        <f t="shared" si="45"/>
        <v>0.15</v>
      </c>
    </row>
    <row r="192" spans="1:18" ht="13.5" hidden="1" thickBot="1" x14ac:dyDescent="0.25">
      <c r="A192" s="387" t="s">
        <v>23</v>
      </c>
      <c r="B192" s="388" t="s">
        <v>148</v>
      </c>
      <c r="C192" s="388"/>
      <c r="D192" s="389"/>
      <c r="E192" s="390"/>
      <c r="F192" s="390"/>
      <c r="G192" s="391"/>
      <c r="H192" s="83"/>
      <c r="I192" s="94">
        <v>136</v>
      </c>
      <c r="J192" s="79" t="str">
        <f>CONCATENATE(VLOOKUP($I192, '[2]Commissioner Splits'!$A$4:$C$351, 2, FALSE), " - ", VLOOKUP($I192, '[2]Commissioner Splits'!$A$4:$C$351, 3, FALSE))</f>
        <v>Velindre - Cancer Services (Main LTA)</v>
      </c>
      <c r="K192" s="56">
        <f>VLOOKUP($I192, '[2]Commissioner Splits'!$A$4:$J$351, 5, FALSE)*E192</f>
        <v>0</v>
      </c>
      <c r="L192" s="56">
        <f>VLOOKUP($I192, '[2]Commissioner Splits'!$A$4:$J$351, 7, FALSE)*E192</f>
        <v>0</v>
      </c>
      <c r="M192" s="56">
        <f>VLOOKUP($I192, '[2]Commissioner Splits'!$A$4:$J$351, 10, FALSE)*E192</f>
        <v>0</v>
      </c>
      <c r="N192" s="56">
        <f>VLOOKUP($I192, '[2]Commissioner Splits'!$A$4:$J$351, 4, FALSE)*E192</f>
        <v>0</v>
      </c>
      <c r="O192" s="56">
        <f>VLOOKUP($I192, '[2]Commissioner Splits'!$A$4:$J$351, 6, FALSE)*E192</f>
        <v>0</v>
      </c>
      <c r="P192" s="56">
        <f>VLOOKUP($I192, '[2]Commissioner Splits'!$A$4:$J$351, 8, FALSE)*E192</f>
        <v>0</v>
      </c>
      <c r="Q192" s="56">
        <f>VLOOKUP($I192, '[2]Commissioner Splits'!$A$4:$J$351,9, FALSE)*E192</f>
        <v>0</v>
      </c>
      <c r="R192" s="49">
        <f t="shared" si="45"/>
        <v>0</v>
      </c>
    </row>
    <row r="193" spans="1:18" ht="13.5" hidden="1" thickBot="1" x14ac:dyDescent="0.3">
      <c r="A193" s="81"/>
      <c r="B193" s="102" t="s">
        <v>144</v>
      </c>
      <c r="C193" s="86"/>
      <c r="D193" s="87"/>
      <c r="E193" s="60">
        <f>SUM(E183:E192)</f>
        <v>4.2560000000000002</v>
      </c>
      <c r="F193" s="60">
        <f>SUM(F183:F192)</f>
        <v>0</v>
      </c>
      <c r="G193" s="60">
        <f>SUM(G183:G192)</f>
        <v>0</v>
      </c>
      <c r="H193" s="83"/>
      <c r="I193" s="88"/>
      <c r="J193" s="89"/>
      <c r="K193" s="60">
        <f t="shared" ref="K193:Q193" si="46">SUM(K183:K192)</f>
        <v>0.64023844378212147</v>
      </c>
      <c r="L193" s="60">
        <f t="shared" si="46"/>
        <v>1.046495326303359</v>
      </c>
      <c r="M193" s="60">
        <f t="shared" si="46"/>
        <v>0.63138336713064747</v>
      </c>
      <c r="N193" s="60">
        <f t="shared" si="46"/>
        <v>0.71254498962862023</v>
      </c>
      <c r="O193" s="60">
        <f t="shared" si="46"/>
        <v>0.60882679400940887</v>
      </c>
      <c r="P193" s="60">
        <f t="shared" si="46"/>
        <v>0.48294121166767734</v>
      </c>
      <c r="Q193" s="60">
        <f t="shared" si="46"/>
        <v>0.1335698674781656</v>
      </c>
      <c r="R193" s="60">
        <f t="shared" si="45"/>
        <v>4.2560000000000002</v>
      </c>
    </row>
    <row r="194" spans="1:18" hidden="1" x14ac:dyDescent="0.25"/>
    <row r="195" spans="1:18" hidden="1" x14ac:dyDescent="0.25">
      <c r="B195" s="28" t="s">
        <v>455</v>
      </c>
      <c r="C195" s="28"/>
      <c r="D195" s="62"/>
      <c r="F195" s="6"/>
      <c r="H195" s="83"/>
      <c r="J195" s="8"/>
      <c r="R195" s="4"/>
    </row>
    <row r="196" spans="1:18" hidden="1" x14ac:dyDescent="0.25">
      <c r="A196" s="64"/>
      <c r="B196" s="65"/>
      <c r="C196" s="66"/>
      <c r="D196" s="67"/>
      <c r="E196" s="29"/>
      <c r="F196" s="30"/>
      <c r="G196" s="30"/>
      <c r="H196" s="83"/>
      <c r="I196" s="31"/>
      <c r="J196" s="31"/>
      <c r="K196" s="68" t="s">
        <v>0</v>
      </c>
      <c r="L196" s="69" t="s">
        <v>18</v>
      </c>
      <c r="M196" s="69" t="s">
        <v>19</v>
      </c>
      <c r="N196" s="69" t="s">
        <v>20</v>
      </c>
      <c r="O196" s="69" t="s">
        <v>21</v>
      </c>
      <c r="P196" s="70" t="s">
        <v>22</v>
      </c>
      <c r="Q196" s="69" t="s">
        <v>5</v>
      </c>
      <c r="R196" s="69" t="s">
        <v>6</v>
      </c>
    </row>
    <row r="197" spans="1:18" ht="25.5" hidden="1" x14ac:dyDescent="0.25">
      <c r="A197" s="72" t="s">
        <v>34</v>
      </c>
      <c r="B197" s="73" t="s">
        <v>454</v>
      </c>
      <c r="C197" s="74"/>
      <c r="D197" s="361" t="s">
        <v>35</v>
      </c>
      <c r="E197" s="38" t="s">
        <v>26</v>
      </c>
      <c r="F197" s="38" t="s">
        <v>151</v>
      </c>
      <c r="G197" s="38" t="s">
        <v>476</v>
      </c>
      <c r="H197" s="83"/>
      <c r="I197" s="39" t="s">
        <v>28</v>
      </c>
      <c r="J197" s="39"/>
      <c r="K197" s="33"/>
      <c r="L197" s="34" t="s">
        <v>29</v>
      </c>
      <c r="M197" s="33" t="s">
        <v>30</v>
      </c>
      <c r="N197" s="34" t="s">
        <v>31</v>
      </c>
      <c r="O197" s="35" t="s">
        <v>32</v>
      </c>
      <c r="P197" s="35" t="s">
        <v>33</v>
      </c>
      <c r="Q197" s="34"/>
      <c r="R197" s="34"/>
    </row>
    <row r="198" spans="1:18" ht="13.5" hidden="1" thickBot="1" x14ac:dyDescent="0.3">
      <c r="A198" s="75"/>
      <c r="B198" s="363" t="s">
        <v>450</v>
      </c>
      <c r="C198" s="76"/>
      <c r="D198" s="77"/>
      <c r="E198" s="41" t="s">
        <v>9</v>
      </c>
      <c r="F198" s="42" t="s">
        <v>9</v>
      </c>
      <c r="G198" s="42" t="s">
        <v>9</v>
      </c>
      <c r="H198" s="83"/>
      <c r="I198" s="43"/>
      <c r="J198" s="43"/>
      <c r="K198" s="45" t="s">
        <v>7</v>
      </c>
      <c r="L198" s="45" t="s">
        <v>7</v>
      </c>
      <c r="M198" s="45" t="s">
        <v>7</v>
      </c>
      <c r="N198" s="46" t="s">
        <v>7</v>
      </c>
      <c r="O198" s="47" t="s">
        <v>7</v>
      </c>
      <c r="P198" s="45" t="s">
        <v>7</v>
      </c>
      <c r="Q198" s="46" t="s">
        <v>8</v>
      </c>
      <c r="R198" s="46"/>
    </row>
    <row r="199" spans="1:18" hidden="1" x14ac:dyDescent="0.2">
      <c r="A199" s="80" t="s">
        <v>150</v>
      </c>
      <c r="B199" s="364" t="s">
        <v>453</v>
      </c>
      <c r="C199" s="131"/>
      <c r="D199" s="361"/>
      <c r="E199" s="126">
        <v>0.25</v>
      </c>
      <c r="F199" s="126">
        <v>0.5</v>
      </c>
      <c r="G199" s="126">
        <v>0.75</v>
      </c>
      <c r="H199" s="83"/>
      <c r="I199" s="39">
        <v>274</v>
      </c>
      <c r="J199" s="92" t="str">
        <f>CONCATENATE(VLOOKUP($I199, '[2]Commissioner Splits'!$A$4:$C$351, 2, FALSE), " - ", VLOOKUP($I199, '[2]Commissioner Splits'!$A$4:$C$351, 3, FALSE))</f>
        <v>16/17 Developments - Elosulfase Alfa - VIMZIM ERT (Ministerial ratification)</v>
      </c>
      <c r="K199" s="56">
        <f>VLOOKUP($I199, '[2]Commissioner Splits'!$A$4:$J$351, 5, FALSE)*E199</f>
        <v>4.1625000000000002E-2</v>
      </c>
      <c r="L199" s="56">
        <f>VLOOKUP($I199, '[2]Commissioner Splits'!$A$4:$J$351, 7, FALSE)*E199</f>
        <v>4.7E-2</v>
      </c>
      <c r="M199" s="56">
        <f>VLOOKUP($I199, '[2]Commissioner Splits'!$A$4:$J$351, 10, FALSE)*E199</f>
        <v>5.7049999999999997E-2</v>
      </c>
      <c r="N199" s="56">
        <f>VLOOKUP($I199, '[2]Commissioner Splits'!$A$4:$J$351, 4, FALSE)*E199</f>
        <v>3.7400000000000003E-2</v>
      </c>
      <c r="O199" s="56">
        <f>VLOOKUP($I199, '[2]Commissioner Splits'!$A$4:$J$351, 6, FALSE)*E199</f>
        <v>2.4199999999999999E-2</v>
      </c>
      <c r="P199" s="56">
        <f>VLOOKUP($I199, '[2]Commissioner Splits'!$A$4:$J$351, 8, FALSE)*E199</f>
        <v>3.1600000000000003E-2</v>
      </c>
      <c r="Q199" s="56">
        <f>VLOOKUP($I199, '[2]Commissioner Splits'!$A$4:$J$351,9, FALSE)*E199</f>
        <v>1.1124999999999999E-2</v>
      </c>
      <c r="R199" s="85">
        <f t="shared" ref="R199:R202" si="47">SUM(K199:Q199)</f>
        <v>0.25</v>
      </c>
    </row>
    <row r="200" spans="1:18" hidden="1" x14ac:dyDescent="0.2">
      <c r="A200" s="80" t="s">
        <v>150</v>
      </c>
      <c r="B200" s="101" t="s">
        <v>451</v>
      </c>
      <c r="C200" s="111"/>
      <c r="D200" s="113"/>
      <c r="E200" s="50">
        <v>0.39400000000000002</v>
      </c>
      <c r="F200" s="50">
        <v>0.52500000000000002</v>
      </c>
      <c r="G200" s="50">
        <v>0.75</v>
      </c>
      <c r="H200" s="83"/>
      <c r="I200" s="51">
        <v>274</v>
      </c>
      <c r="J200" s="92" t="str">
        <f>CONCATENATE(VLOOKUP($I200, '[2]Commissioner Splits'!$A$4:$C$351, 2, FALSE), " - ", VLOOKUP($I200, '[2]Commissioner Splits'!$A$4:$C$351, 3, FALSE))</f>
        <v>16/17 Developments - Elosulfase Alfa - VIMZIM ERT (Ministerial ratification)</v>
      </c>
      <c r="K200" s="56">
        <f>VLOOKUP($I200, '[2]Commissioner Splits'!$A$4:$J$351, 5, FALSE)*E200</f>
        <v>6.5601000000000007E-2</v>
      </c>
      <c r="L200" s="56">
        <f>VLOOKUP($I200, '[2]Commissioner Splits'!$A$4:$J$351, 7, FALSE)*E200</f>
        <v>7.4071999999999999E-2</v>
      </c>
      <c r="M200" s="56">
        <f>VLOOKUP($I200, '[2]Commissioner Splits'!$A$4:$J$351, 10, FALSE)*E200</f>
        <v>8.9910799999999999E-2</v>
      </c>
      <c r="N200" s="56">
        <f>VLOOKUP($I200, '[2]Commissioner Splits'!$A$4:$J$351, 4, FALSE)*E200</f>
        <v>5.8942400000000006E-2</v>
      </c>
      <c r="O200" s="56">
        <f>VLOOKUP($I200, '[2]Commissioner Splits'!$A$4:$J$351, 6, FALSE)*E200</f>
        <v>3.8139199999999998E-2</v>
      </c>
      <c r="P200" s="56">
        <f>VLOOKUP($I200, '[2]Commissioner Splits'!$A$4:$J$351, 8, FALSE)*E200</f>
        <v>4.9801600000000008E-2</v>
      </c>
      <c r="Q200" s="56">
        <f>VLOOKUP($I200, '[2]Commissioner Splits'!$A$4:$J$351,9, FALSE)*E200</f>
        <v>1.7533E-2</v>
      </c>
      <c r="R200" s="85">
        <f t="shared" si="47"/>
        <v>0.39400000000000002</v>
      </c>
    </row>
    <row r="201" spans="1:18" hidden="1" x14ac:dyDescent="0.2">
      <c r="A201" s="80" t="s">
        <v>150</v>
      </c>
      <c r="B201" s="101" t="s">
        <v>470</v>
      </c>
      <c r="C201" s="111"/>
      <c r="D201" s="113"/>
      <c r="E201" s="50">
        <v>0.5</v>
      </c>
      <c r="F201" s="50">
        <v>0.5</v>
      </c>
      <c r="G201" s="50">
        <v>0.5</v>
      </c>
      <c r="H201" s="83"/>
      <c r="I201" s="424">
        <v>274</v>
      </c>
      <c r="J201" s="92" t="str">
        <f>CONCATENATE(VLOOKUP($I201, '[2]Commissioner Splits'!$A$4:$C$351, 2, FALSE), " - ", VLOOKUP($I201, '[2]Commissioner Splits'!$A$4:$C$351, 3, FALSE))</f>
        <v>16/17 Developments - Elosulfase Alfa - VIMZIM ERT (Ministerial ratification)</v>
      </c>
      <c r="K201" s="56">
        <f>VLOOKUP($I201, '[2]Commissioner Splits'!$A$4:$J$351, 5, FALSE)*E201</f>
        <v>8.3250000000000005E-2</v>
      </c>
      <c r="L201" s="56">
        <f>VLOOKUP($I201, '[2]Commissioner Splits'!$A$4:$J$351, 7, FALSE)*E201</f>
        <v>9.4E-2</v>
      </c>
      <c r="M201" s="56">
        <f>VLOOKUP($I201, '[2]Commissioner Splits'!$A$4:$J$351, 10, FALSE)*E201</f>
        <v>0.11409999999999999</v>
      </c>
      <c r="N201" s="56">
        <f>VLOOKUP($I201, '[2]Commissioner Splits'!$A$4:$J$351, 4, FALSE)*E201</f>
        <v>7.4800000000000005E-2</v>
      </c>
      <c r="O201" s="56">
        <f>VLOOKUP($I201, '[2]Commissioner Splits'!$A$4:$J$351, 6, FALSE)*E201</f>
        <v>4.8399999999999999E-2</v>
      </c>
      <c r="P201" s="56">
        <f>VLOOKUP($I201, '[2]Commissioner Splits'!$A$4:$J$351, 8, FALSE)*E201</f>
        <v>6.3200000000000006E-2</v>
      </c>
      <c r="Q201" s="56">
        <f>VLOOKUP($I201, '[2]Commissioner Splits'!$A$4:$J$351,9, FALSE)*E201</f>
        <v>2.2249999999999999E-2</v>
      </c>
      <c r="R201" s="85">
        <f t="shared" si="47"/>
        <v>0.5</v>
      </c>
    </row>
    <row r="202" spans="1:18" ht="25.5" hidden="1" x14ac:dyDescent="0.2">
      <c r="A202" s="80" t="s">
        <v>150</v>
      </c>
      <c r="B202" s="101" t="s">
        <v>452</v>
      </c>
      <c r="C202" s="111"/>
      <c r="D202" s="113"/>
      <c r="E202" s="50">
        <v>0.3</v>
      </c>
      <c r="F202" s="50">
        <v>0.75</v>
      </c>
      <c r="G202" s="50">
        <v>1.5</v>
      </c>
      <c r="H202" s="83"/>
      <c r="I202" s="39">
        <v>274</v>
      </c>
      <c r="J202" s="79" t="str">
        <f>CONCATENATE(VLOOKUP($I202, '[2]Commissioner Splits'!$A$4:$C$351, 2, FALSE), " - ", VLOOKUP($I202, '[2]Commissioner Splits'!$A$4:$C$351, 3, FALSE))</f>
        <v>16/17 Developments - Elosulfase Alfa - VIMZIM ERT (Ministerial ratification)</v>
      </c>
      <c r="K202" s="56">
        <f>VLOOKUP($I202, '[2]Commissioner Splits'!$A$4:$J$351, 5, FALSE)*E202</f>
        <v>4.9950000000000001E-2</v>
      </c>
      <c r="L202" s="56">
        <f>VLOOKUP($I202, '[2]Commissioner Splits'!$A$4:$J$351, 7, FALSE)*E202</f>
        <v>5.6399999999999999E-2</v>
      </c>
      <c r="M202" s="56">
        <f>VLOOKUP($I202, '[2]Commissioner Splits'!$A$4:$J$351, 10, FALSE)*E202</f>
        <v>6.8459999999999993E-2</v>
      </c>
      <c r="N202" s="56">
        <f>VLOOKUP($I202, '[2]Commissioner Splits'!$A$4:$J$351, 4, FALSE)*E202</f>
        <v>4.4880000000000003E-2</v>
      </c>
      <c r="O202" s="56">
        <f>VLOOKUP($I202, '[2]Commissioner Splits'!$A$4:$J$351, 6, FALSE)*E202</f>
        <v>2.9039999999999996E-2</v>
      </c>
      <c r="P202" s="56">
        <f>VLOOKUP($I202, '[2]Commissioner Splits'!$A$4:$J$351, 8, FALSE)*E202</f>
        <v>3.7920000000000002E-2</v>
      </c>
      <c r="Q202" s="56">
        <f>VLOOKUP($I202, '[2]Commissioner Splits'!$A$4:$J$351,9, FALSE)*E202</f>
        <v>1.3349999999999999E-2</v>
      </c>
      <c r="R202" s="85">
        <f t="shared" si="47"/>
        <v>0.3</v>
      </c>
    </row>
    <row r="203" spans="1:18" hidden="1" x14ac:dyDescent="0.2">
      <c r="A203" s="170" t="s">
        <v>163</v>
      </c>
      <c r="B203" s="171"/>
      <c r="C203" s="172"/>
      <c r="D203" s="173"/>
      <c r="E203" s="93"/>
      <c r="F203" s="93"/>
      <c r="G203" s="93"/>
      <c r="H203" s="83"/>
      <c r="I203" s="94"/>
      <c r="J203" s="124"/>
      <c r="K203" s="93"/>
      <c r="L203" s="93"/>
      <c r="M203" s="93"/>
      <c r="N203" s="93"/>
      <c r="O203" s="93"/>
      <c r="P203" s="93"/>
      <c r="Q203" s="93"/>
      <c r="R203" s="95"/>
    </row>
    <row r="204" spans="1:18" ht="13.5" hidden="1" thickBot="1" x14ac:dyDescent="0.3">
      <c r="A204" s="114"/>
      <c r="B204" s="59" t="s">
        <v>146</v>
      </c>
      <c r="C204" s="115"/>
      <c r="D204" s="115"/>
      <c r="E204" s="60">
        <f>SUM(E199:E203)</f>
        <v>1.4440000000000002</v>
      </c>
      <c r="F204" s="60">
        <f>SUM(F199:F203)</f>
        <v>2.2749999999999999</v>
      </c>
      <c r="G204" s="60">
        <f>SUM(G199:G203)</f>
        <v>3.5</v>
      </c>
      <c r="H204" s="83"/>
      <c r="I204" s="116"/>
      <c r="J204" s="116"/>
      <c r="K204" s="60">
        <f t="shared" ref="K204:R204" si="48">SUM(K199:K202)</f>
        <v>0.24042600000000003</v>
      </c>
      <c r="L204" s="60">
        <f t="shared" si="48"/>
        <v>0.27147199999999999</v>
      </c>
      <c r="M204" s="60">
        <f t="shared" si="48"/>
        <v>0.32952079999999995</v>
      </c>
      <c r="N204" s="60">
        <f t="shared" si="48"/>
        <v>0.21602240000000003</v>
      </c>
      <c r="O204" s="60">
        <f t="shared" si="48"/>
        <v>0.13977919999999999</v>
      </c>
      <c r="P204" s="60">
        <f t="shared" si="48"/>
        <v>0.18252160000000003</v>
      </c>
      <c r="Q204" s="60">
        <f t="shared" si="48"/>
        <v>6.4257999999999996E-2</v>
      </c>
      <c r="R204" s="60">
        <f t="shared" si="48"/>
        <v>1.4440000000000002</v>
      </c>
    </row>
    <row r="205" spans="1:18" hidden="1" x14ac:dyDescent="0.25">
      <c r="A205" s="365"/>
      <c r="B205" s="366"/>
      <c r="C205" s="367"/>
      <c r="D205" s="367"/>
      <c r="E205" s="91"/>
      <c r="F205" s="91"/>
      <c r="G205" s="91"/>
      <c r="H205" s="83"/>
      <c r="I205" s="368"/>
      <c r="J205" s="368"/>
      <c r="K205" s="91"/>
      <c r="L205" s="91"/>
      <c r="M205" s="91"/>
      <c r="N205" s="91"/>
      <c r="O205" s="91"/>
      <c r="P205" s="91"/>
      <c r="Q205" s="91"/>
      <c r="R205" s="91"/>
    </row>
    <row r="206" spans="1:18" hidden="1" x14ac:dyDescent="0.25">
      <c r="B206" s="28" t="s">
        <v>138</v>
      </c>
      <c r="H206" s="83"/>
    </row>
    <row r="207" spans="1:18" hidden="1" x14ac:dyDescent="0.25">
      <c r="A207" s="64"/>
      <c r="B207" s="65"/>
      <c r="C207" s="66"/>
      <c r="D207" s="67"/>
      <c r="E207" s="29"/>
      <c r="F207" s="30"/>
      <c r="G207" s="30"/>
      <c r="H207" s="83"/>
      <c r="I207" s="31"/>
      <c r="J207" s="31"/>
      <c r="K207" s="68" t="s">
        <v>0</v>
      </c>
      <c r="L207" s="69" t="s">
        <v>18</v>
      </c>
      <c r="M207" s="69" t="s">
        <v>19</v>
      </c>
      <c r="N207" s="69" t="s">
        <v>20</v>
      </c>
      <c r="O207" s="69" t="s">
        <v>21</v>
      </c>
      <c r="P207" s="70" t="s">
        <v>22</v>
      </c>
      <c r="Q207" s="69" t="s">
        <v>5</v>
      </c>
      <c r="R207" s="69" t="s">
        <v>6</v>
      </c>
    </row>
    <row r="208" spans="1:18" ht="25.5" hidden="1" x14ac:dyDescent="0.25">
      <c r="A208" s="72" t="s">
        <v>34</v>
      </c>
      <c r="B208" s="73" t="s">
        <v>145</v>
      </c>
      <c r="C208" s="74"/>
      <c r="D208" s="361" t="s">
        <v>35</v>
      </c>
      <c r="E208" s="37">
        <f>'Table 6 - Growth'!E237</f>
        <v>0</v>
      </c>
      <c r="F208" s="37">
        <f>'Table 6 - Growth'!F237</f>
        <v>0</v>
      </c>
      <c r="G208" s="37">
        <f>'Table 6 - Growth'!G237</f>
        <v>0</v>
      </c>
      <c r="H208" s="83"/>
      <c r="I208" s="39" t="s">
        <v>28</v>
      </c>
      <c r="J208" s="39"/>
      <c r="K208" s="33"/>
      <c r="L208" s="34" t="s">
        <v>29</v>
      </c>
      <c r="M208" s="33" t="s">
        <v>30</v>
      </c>
      <c r="N208" s="34" t="s">
        <v>31</v>
      </c>
      <c r="O208" s="35" t="s">
        <v>32</v>
      </c>
      <c r="P208" s="35" t="s">
        <v>33</v>
      </c>
      <c r="Q208" s="34"/>
      <c r="R208" s="34"/>
    </row>
    <row r="209" spans="1:18" ht="13.5" hidden="1" thickBot="1" x14ac:dyDescent="0.3">
      <c r="A209" s="75"/>
      <c r="B209" s="363" t="s">
        <v>457</v>
      </c>
      <c r="C209" s="76"/>
      <c r="D209" s="77"/>
      <c r="E209" s="41" t="s">
        <v>9</v>
      </c>
      <c r="F209" s="42" t="s">
        <v>9</v>
      </c>
      <c r="G209" s="42" t="s">
        <v>9</v>
      </c>
      <c r="H209" s="83"/>
      <c r="I209" s="43"/>
      <c r="J209" s="43"/>
      <c r="K209" s="45" t="s">
        <v>7</v>
      </c>
      <c r="L209" s="45" t="s">
        <v>7</v>
      </c>
      <c r="M209" s="45" t="s">
        <v>7</v>
      </c>
      <c r="N209" s="46" t="s">
        <v>7</v>
      </c>
      <c r="O209" s="47" t="s">
        <v>7</v>
      </c>
      <c r="P209" s="45" t="s">
        <v>7</v>
      </c>
      <c r="Q209" s="46" t="s">
        <v>8</v>
      </c>
      <c r="R209" s="46"/>
    </row>
    <row r="210" spans="1:18" hidden="1" x14ac:dyDescent="0.2">
      <c r="A210" s="80" t="s">
        <v>456</v>
      </c>
      <c r="B210" s="369" t="s">
        <v>458</v>
      </c>
      <c r="C210" s="131"/>
      <c r="D210" s="361"/>
      <c r="E210" s="126">
        <v>0.60799999999999998</v>
      </c>
      <c r="F210" s="126">
        <v>1</v>
      </c>
      <c r="G210" s="126">
        <v>2</v>
      </c>
      <c r="H210" s="83"/>
      <c r="I210" s="39">
        <v>274</v>
      </c>
      <c r="J210" s="92" t="s">
        <v>456</v>
      </c>
      <c r="K210" s="56">
        <v>5.9900000000000002E-2</v>
      </c>
      <c r="L210" s="56">
        <v>0.23880000000000001</v>
      </c>
      <c r="M210" s="56">
        <v>0</v>
      </c>
      <c r="N210" s="56">
        <v>0.17460000000000001</v>
      </c>
      <c r="O210" s="56">
        <v>0.113</v>
      </c>
      <c r="P210" s="56">
        <v>8.9999999999999993E-3</v>
      </c>
      <c r="Q210" s="56">
        <v>1.2999999999999999E-2</v>
      </c>
      <c r="R210" s="85">
        <f t="shared" ref="R210" si="49">SUM(K210:Q210)</f>
        <v>0.60830000000000006</v>
      </c>
    </row>
    <row r="211" spans="1:18" hidden="1" x14ac:dyDescent="0.2">
      <c r="A211" s="80"/>
      <c r="B211" s="101"/>
      <c r="C211" s="111"/>
      <c r="D211" s="113"/>
      <c r="E211" s="50"/>
      <c r="F211" s="50"/>
      <c r="G211" s="50"/>
      <c r="H211" s="83"/>
      <c r="I211" s="51"/>
      <c r="J211" s="92"/>
      <c r="K211" s="56"/>
      <c r="L211" s="56"/>
      <c r="M211" s="56"/>
      <c r="N211" s="56"/>
      <c r="O211" s="56"/>
      <c r="P211" s="56"/>
      <c r="Q211" s="56"/>
      <c r="R211" s="85"/>
    </row>
    <row r="212" spans="1:18" hidden="1" x14ac:dyDescent="0.2">
      <c r="A212" s="80"/>
      <c r="B212" s="101"/>
      <c r="C212" s="111"/>
      <c r="D212" s="113"/>
      <c r="E212" s="50"/>
      <c r="F212" s="50"/>
      <c r="G212" s="50"/>
      <c r="H212" s="83"/>
      <c r="I212" s="51"/>
      <c r="J212" s="79"/>
      <c r="K212" s="56"/>
      <c r="L212" s="56"/>
      <c r="M212" s="56"/>
      <c r="N212" s="56"/>
      <c r="O212" s="56"/>
      <c r="P212" s="56"/>
      <c r="Q212" s="56"/>
      <c r="R212" s="49"/>
    </row>
    <row r="213" spans="1:18" hidden="1" x14ac:dyDescent="0.2">
      <c r="A213" s="170"/>
      <c r="B213" s="171"/>
      <c r="C213" s="172"/>
      <c r="D213" s="173"/>
      <c r="E213" s="93"/>
      <c r="F213" s="93"/>
      <c r="G213" s="93"/>
      <c r="H213" s="83"/>
      <c r="I213" s="94"/>
      <c r="J213" s="124"/>
      <c r="K213" s="93"/>
      <c r="L213" s="93"/>
      <c r="M213" s="93"/>
      <c r="N213" s="93"/>
      <c r="O213" s="93"/>
      <c r="P213" s="93"/>
      <c r="Q213" s="93"/>
      <c r="R213" s="95"/>
    </row>
    <row r="214" spans="1:18" ht="13.5" hidden="1" thickBot="1" x14ac:dyDescent="0.3">
      <c r="A214" s="114"/>
      <c r="B214" s="59" t="s">
        <v>146</v>
      </c>
      <c r="C214" s="115"/>
      <c r="D214" s="115"/>
      <c r="E214" s="60">
        <f>SUM(E210:E213)</f>
        <v>0.60799999999999998</v>
      </c>
      <c r="F214" s="60">
        <f>SUM(F210:F213)</f>
        <v>1</v>
      </c>
      <c r="G214" s="60">
        <f>SUM(G210:G213)</f>
        <v>2</v>
      </c>
      <c r="H214" s="83"/>
      <c r="I214" s="116"/>
      <c r="J214" s="116"/>
      <c r="K214" s="60">
        <f t="shared" ref="K214:R214" si="50">SUM(K210:K212)</f>
        <v>5.9900000000000002E-2</v>
      </c>
      <c r="L214" s="60">
        <f t="shared" si="50"/>
        <v>0.23880000000000001</v>
      </c>
      <c r="M214" s="60">
        <f t="shared" si="50"/>
        <v>0</v>
      </c>
      <c r="N214" s="60">
        <f t="shared" si="50"/>
        <v>0.17460000000000001</v>
      </c>
      <c r="O214" s="60">
        <f t="shared" si="50"/>
        <v>0.113</v>
      </c>
      <c r="P214" s="60">
        <f t="shared" si="50"/>
        <v>8.9999999999999993E-3</v>
      </c>
      <c r="Q214" s="60">
        <f t="shared" si="50"/>
        <v>1.2999999999999999E-2</v>
      </c>
      <c r="R214" s="60">
        <f t="shared" si="50"/>
        <v>0.60830000000000006</v>
      </c>
    </row>
    <row r="215" spans="1:18" hidden="1" x14ac:dyDescent="0.25"/>
  </sheetData>
  <sortState ref="A56:R164">
    <sortCondition ref="A56:A164"/>
    <sortCondition ref="B56:B164"/>
  </sortState>
  <pageMargins left="0.23622047244094491" right="0.23622047244094491" top="0.59055118110236227" bottom="0.59055118110236227" header="0.19685039370078741" footer="0.19685039370078741"/>
  <pageSetup paperSize="8" scale="55" fitToHeight="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2:R30"/>
  <sheetViews>
    <sheetView zoomScale="80" zoomScaleNormal="80" zoomScaleSheetLayoutView="76" workbookViewId="0">
      <selection activeCell="A7" sqref="A7:A17"/>
    </sheetView>
  </sheetViews>
  <sheetFormatPr defaultColWidth="19.140625" defaultRowHeight="12.75" outlineLevelCol="1" x14ac:dyDescent="0.25"/>
  <cols>
    <col min="1" max="1" width="15.42578125" style="2" customWidth="1"/>
    <col min="2" max="2" width="49.5703125" style="3" customWidth="1"/>
    <col min="3" max="3" width="14.28515625" style="4" hidden="1" customWidth="1"/>
    <col min="4" max="4" width="14.28515625" style="5" hidden="1" customWidth="1"/>
    <col min="5" max="5" width="11.5703125" style="6" customWidth="1"/>
    <col min="6" max="7" width="11.5703125" style="4" customWidth="1"/>
    <col min="8" max="8" width="11.5703125" style="7" customWidth="1"/>
    <col min="9" max="9" width="11.5703125" style="8" hidden="1" customWidth="1" outlineLevel="1"/>
    <col min="10" max="10" width="43.28515625" style="9" hidden="1" customWidth="1" outlineLevel="1"/>
    <col min="11" max="17" width="11.5703125" style="4" customWidth="1" outlineLevel="1"/>
    <col min="18" max="18" width="11.5703125" style="6" customWidth="1" outlineLevel="1"/>
    <col min="19" max="22" width="10" style="4" customWidth="1"/>
    <col min="23" max="23" width="13.42578125" style="4" customWidth="1"/>
    <col min="24" max="24" width="10" style="4" customWidth="1"/>
    <col min="25" max="16384" width="19.140625" style="4"/>
  </cols>
  <sheetData>
    <row r="2" spans="1:18" ht="26.25" x14ac:dyDescent="0.25">
      <c r="A2" s="10" t="str">
        <f>'Table 3 - Rollover Baseline'!A2</f>
        <v>2018-21 Financial Plan</v>
      </c>
      <c r="B2" s="10"/>
      <c r="C2" s="11"/>
      <c r="D2" s="12"/>
      <c r="G2" s="13"/>
    </row>
    <row r="3" spans="1:18" ht="26.25" x14ac:dyDescent="0.4">
      <c r="A3" s="14" t="s">
        <v>14</v>
      </c>
      <c r="B3" s="14"/>
      <c r="D3" s="12"/>
      <c r="G3" s="15"/>
      <c r="I3" s="18"/>
      <c r="J3" s="19"/>
      <c r="K3" s="16" t="s">
        <v>15</v>
      </c>
      <c r="L3" s="17"/>
      <c r="M3" s="17"/>
      <c r="N3" s="17"/>
      <c r="O3" s="17"/>
      <c r="P3" s="17"/>
      <c r="Q3" s="17"/>
      <c r="R3" s="20"/>
    </row>
    <row r="4" spans="1:18" ht="18" customHeight="1" x14ac:dyDescent="0.2">
      <c r="A4" s="21"/>
      <c r="B4" s="21"/>
      <c r="D4" s="22"/>
      <c r="K4" s="23"/>
      <c r="L4" s="23"/>
      <c r="M4" s="23"/>
      <c r="N4" s="23"/>
      <c r="O4" s="23"/>
      <c r="P4" s="23"/>
      <c r="Q4" s="23"/>
      <c r="R4" s="24"/>
    </row>
    <row r="5" spans="1:18" ht="18" customHeight="1" thickBot="1" x14ac:dyDescent="0.3">
      <c r="A5" s="25" t="s">
        <v>546</v>
      </c>
      <c r="B5" s="25"/>
      <c r="D5" s="12"/>
      <c r="K5" s="26"/>
      <c r="L5" s="26"/>
      <c r="M5" s="26"/>
      <c r="N5" s="26"/>
      <c r="O5" s="26"/>
      <c r="P5" s="26"/>
      <c r="Q5" s="26"/>
      <c r="R5" s="27"/>
    </row>
    <row r="6" spans="1:18" ht="15" customHeight="1" thickBot="1" x14ac:dyDescent="0.3">
      <c r="B6" s="63" t="s">
        <v>147</v>
      </c>
      <c r="H6" s="83"/>
    </row>
    <row r="7" spans="1:18" s="3" customFormat="1" ht="15" customHeight="1" x14ac:dyDescent="0.25">
      <c r="A7" s="64"/>
      <c r="B7" s="65"/>
      <c r="C7" s="74"/>
      <c r="D7" s="67"/>
      <c r="E7" s="29"/>
      <c r="F7" s="29"/>
      <c r="G7" s="29"/>
      <c r="H7" s="83"/>
      <c r="I7" s="31"/>
      <c r="J7" s="32"/>
      <c r="K7" s="68" t="s">
        <v>0</v>
      </c>
      <c r="L7" s="69" t="s">
        <v>18</v>
      </c>
      <c r="M7" s="69" t="s">
        <v>19</v>
      </c>
      <c r="N7" s="69" t="s">
        <v>20</v>
      </c>
      <c r="O7" s="69" t="s">
        <v>21</v>
      </c>
      <c r="P7" s="70" t="s">
        <v>22</v>
      </c>
      <c r="Q7" s="69" t="s">
        <v>5</v>
      </c>
      <c r="R7" s="71" t="s">
        <v>6</v>
      </c>
    </row>
    <row r="8" spans="1:18" s="3" customFormat="1" ht="15" customHeight="1" thickBot="1" x14ac:dyDescent="0.3">
      <c r="A8" s="72" t="s">
        <v>34</v>
      </c>
      <c r="B8" s="73" t="s">
        <v>547</v>
      </c>
      <c r="C8" s="76"/>
      <c r="D8" s="499" t="s">
        <v>35</v>
      </c>
      <c r="E8" s="38" t="s">
        <v>26</v>
      </c>
      <c r="F8" s="38" t="s">
        <v>151</v>
      </c>
      <c r="G8" s="38" t="s">
        <v>476</v>
      </c>
      <c r="H8" s="83"/>
      <c r="I8" s="39" t="s">
        <v>28</v>
      </c>
      <c r="J8" s="40"/>
      <c r="K8" s="33"/>
      <c r="L8" s="34" t="s">
        <v>29</v>
      </c>
      <c r="M8" s="33" t="s">
        <v>30</v>
      </c>
      <c r="N8" s="34" t="s">
        <v>31</v>
      </c>
      <c r="O8" s="35" t="s">
        <v>32</v>
      </c>
      <c r="P8" s="35" t="s">
        <v>33</v>
      </c>
      <c r="Q8" s="34"/>
      <c r="R8" s="36"/>
    </row>
    <row r="9" spans="1:18" s="3" customFormat="1" ht="15" customHeight="1" thickBot="1" x14ac:dyDescent="0.3">
      <c r="A9" s="75"/>
      <c r="B9" s="75"/>
      <c r="C9" s="74"/>
      <c r="D9" s="104"/>
      <c r="E9" s="41" t="s">
        <v>9</v>
      </c>
      <c r="F9" s="41" t="s">
        <v>9</v>
      </c>
      <c r="G9" s="41" t="s">
        <v>9</v>
      </c>
      <c r="H9" s="83"/>
      <c r="I9" s="43"/>
      <c r="J9" s="44"/>
      <c r="K9" s="45" t="s">
        <v>7</v>
      </c>
      <c r="L9" s="45" t="s">
        <v>7</v>
      </c>
      <c r="M9" s="45" t="s">
        <v>7</v>
      </c>
      <c r="N9" s="46" t="s">
        <v>7</v>
      </c>
      <c r="O9" s="47" t="s">
        <v>7</v>
      </c>
      <c r="P9" s="45" t="s">
        <v>7</v>
      </c>
      <c r="Q9" s="46" t="s">
        <v>8</v>
      </c>
      <c r="R9" s="48"/>
    </row>
    <row r="10" spans="1:18" s="3" customFormat="1" ht="14.25" customHeight="1" thickBot="1" x14ac:dyDescent="0.25">
      <c r="A10" s="78" t="s">
        <v>544</v>
      </c>
      <c r="B10" s="125" t="s">
        <v>545</v>
      </c>
      <c r="C10" s="105"/>
      <c r="D10" s="433" t="s">
        <v>40</v>
      </c>
      <c r="E10" s="106">
        <v>7.226</v>
      </c>
      <c r="F10" s="106"/>
      <c r="G10" s="106"/>
      <c r="H10" s="83"/>
      <c r="I10" s="51">
        <v>42</v>
      </c>
      <c r="J10" s="79" t="str">
        <f>CONCATENATE(VLOOKUP($I10, '[2]Commissioner Splits'!$A$4:$C$351, 2, FALSE), " - ", VLOOKUP($I10, '[2]Commissioner Splits'!$A$4:$C$351, 3, FALSE))</f>
        <v>Cardiff &amp; Vale - Spinal Implants</v>
      </c>
      <c r="K10" s="56">
        <v>1.6039016991081312</v>
      </c>
      <c r="L10" s="56">
        <v>1.4916909903242357</v>
      </c>
      <c r="M10" s="56">
        <v>0.81501084062116502</v>
      </c>
      <c r="N10" s="56">
        <v>1.4925325807951495</v>
      </c>
      <c r="O10" s="56">
        <v>0.77158446598027197</v>
      </c>
      <c r="P10" s="56">
        <v>0.8532983045089414</v>
      </c>
      <c r="Q10" s="56">
        <v>0.1982217986621056</v>
      </c>
      <c r="R10" s="49">
        <f>SUM(K10:Q10)</f>
        <v>7.2262406800000001</v>
      </c>
    </row>
    <row r="11" spans="1:18" s="3" customFormat="1" ht="14.25" customHeight="1" thickBot="1" x14ac:dyDescent="0.25">
      <c r="A11" s="78"/>
      <c r="B11" s="127"/>
      <c r="C11" s="128"/>
      <c r="D11" s="433"/>
      <c r="E11" s="108"/>
      <c r="F11" s="108"/>
      <c r="G11" s="108"/>
      <c r="H11" s="83"/>
      <c r="I11" s="51"/>
      <c r="J11" s="79"/>
      <c r="K11" s="56"/>
      <c r="L11" s="56"/>
      <c r="M11" s="56"/>
      <c r="N11" s="56"/>
      <c r="O11" s="56"/>
      <c r="P11" s="56"/>
      <c r="Q11" s="56"/>
      <c r="R11" s="49">
        <f>SUM(K11:Q11)</f>
        <v>0</v>
      </c>
    </row>
    <row r="12" spans="1:18" s="3" customFormat="1" ht="14.25" customHeight="1" thickBot="1" x14ac:dyDescent="0.25">
      <c r="A12" s="107"/>
      <c r="B12" s="127"/>
      <c r="C12" s="128"/>
      <c r="D12" s="433"/>
      <c r="E12" s="108"/>
      <c r="F12" s="108"/>
      <c r="G12" s="108"/>
      <c r="H12" s="83"/>
      <c r="I12" s="51"/>
      <c r="J12" s="79"/>
      <c r="K12" s="56"/>
      <c r="L12" s="56"/>
      <c r="M12" s="56"/>
      <c r="N12" s="56"/>
      <c r="O12" s="56"/>
      <c r="P12" s="56"/>
      <c r="Q12" s="56"/>
      <c r="R12" s="49">
        <f>SUM(K12:Q12)</f>
        <v>0</v>
      </c>
    </row>
    <row r="13" spans="1:18" s="3" customFormat="1" ht="14.25" customHeight="1" thickBot="1" x14ac:dyDescent="0.25">
      <c r="A13" s="107"/>
      <c r="B13" s="127"/>
      <c r="C13" s="128"/>
      <c r="D13" s="433"/>
      <c r="E13" s="108"/>
      <c r="F13" s="108"/>
      <c r="G13" s="108"/>
      <c r="H13" s="83"/>
      <c r="I13" s="51"/>
      <c r="J13" s="79"/>
      <c r="K13" s="56"/>
      <c r="L13" s="56"/>
      <c r="M13" s="56"/>
      <c r="N13" s="56"/>
      <c r="O13" s="56"/>
      <c r="P13" s="56"/>
      <c r="Q13" s="56"/>
      <c r="R13" s="49">
        <f>SUM(K13:Q13)</f>
        <v>0</v>
      </c>
    </row>
    <row r="14" spans="1:18" ht="14.25" customHeight="1" x14ac:dyDescent="0.2">
      <c r="A14" s="425"/>
      <c r="B14" s="426"/>
      <c r="C14" s="425"/>
      <c r="D14" s="427"/>
      <c r="E14" s="93"/>
      <c r="F14" s="93"/>
      <c r="G14" s="93"/>
      <c r="H14" s="83"/>
      <c r="I14" s="51"/>
      <c r="J14" s="79"/>
      <c r="K14" s="56"/>
      <c r="L14" s="56"/>
      <c r="M14" s="56"/>
      <c r="N14" s="56"/>
      <c r="O14" s="56"/>
      <c r="P14" s="56"/>
      <c r="Q14" s="56"/>
      <c r="R14" s="49">
        <f t="shared" ref="R14:R16" si="0">SUM(K14:Q14)</f>
        <v>0</v>
      </c>
    </row>
    <row r="15" spans="1:18" ht="14.25" customHeight="1" x14ac:dyDescent="0.2">
      <c r="A15" s="54"/>
      <c r="B15" s="431"/>
      <c r="C15" s="428"/>
      <c r="D15" s="433"/>
      <c r="E15" s="56"/>
      <c r="F15" s="56"/>
      <c r="G15" s="56"/>
      <c r="H15" s="83"/>
      <c r="I15" s="51"/>
      <c r="J15" s="79"/>
      <c r="K15" s="56"/>
      <c r="L15" s="56"/>
      <c r="M15" s="56"/>
      <c r="N15" s="56"/>
      <c r="O15" s="56"/>
      <c r="P15" s="56"/>
      <c r="Q15" s="56"/>
      <c r="R15" s="49">
        <f t="shared" si="0"/>
        <v>0</v>
      </c>
    </row>
    <row r="16" spans="1:18" ht="14.25" customHeight="1" thickBot="1" x14ac:dyDescent="0.25">
      <c r="A16" s="54"/>
      <c r="B16" s="429"/>
      <c r="C16" s="428"/>
      <c r="D16" s="433"/>
      <c r="E16" s="56"/>
      <c r="F16" s="56"/>
      <c r="G16" s="56"/>
      <c r="H16" s="83"/>
      <c r="I16" s="51"/>
      <c r="J16" s="79"/>
      <c r="K16" s="56"/>
      <c r="L16" s="56"/>
      <c r="M16" s="56"/>
      <c r="N16" s="56"/>
      <c r="O16" s="56"/>
      <c r="P16" s="56"/>
      <c r="Q16" s="56"/>
      <c r="R16" s="49">
        <f t="shared" si="0"/>
        <v>0</v>
      </c>
    </row>
    <row r="17" spans="1:18" ht="14.25" customHeight="1" thickBot="1" x14ac:dyDescent="0.3">
      <c r="A17" s="81"/>
      <c r="B17" s="102"/>
      <c r="D17" s="87"/>
      <c r="E17" s="60">
        <f>SUM(E10:E16)</f>
        <v>7.226</v>
      </c>
      <c r="F17" s="60">
        <f>SUM(F10:F16)</f>
        <v>0</v>
      </c>
      <c r="G17" s="60">
        <f>SUM(G10:G16)</f>
        <v>0</v>
      </c>
      <c r="H17" s="83"/>
      <c r="I17" s="88"/>
      <c r="J17" s="89"/>
      <c r="K17" s="60">
        <f t="shared" ref="K17:R17" si="1">SUM(K10:K16)</f>
        <v>1.6039016991081312</v>
      </c>
      <c r="L17" s="60">
        <f t="shared" si="1"/>
        <v>1.4916909903242357</v>
      </c>
      <c r="M17" s="60">
        <f t="shared" si="1"/>
        <v>0.81501084062116502</v>
      </c>
      <c r="N17" s="60">
        <f t="shared" si="1"/>
        <v>1.4925325807951495</v>
      </c>
      <c r="O17" s="60">
        <f t="shared" si="1"/>
        <v>0.77158446598027197</v>
      </c>
      <c r="P17" s="60">
        <f t="shared" si="1"/>
        <v>0.8532983045089414</v>
      </c>
      <c r="Q17" s="60">
        <f t="shared" si="1"/>
        <v>0.1982217986621056</v>
      </c>
      <c r="R17" s="60">
        <f t="shared" si="1"/>
        <v>7.2262406800000001</v>
      </c>
    </row>
    <row r="18" spans="1:18" x14ac:dyDescent="0.25">
      <c r="H18" s="83"/>
      <c r="I18" s="4"/>
      <c r="J18" s="4"/>
    </row>
    <row r="22" spans="1:18" hidden="1" x14ac:dyDescent="0.25">
      <c r="L22" s="6" t="e">
        <f>L15/R15</f>
        <v>#DIV/0!</v>
      </c>
      <c r="O22" s="6" t="e">
        <f>O15/R15</f>
        <v>#DIV/0!</v>
      </c>
    </row>
    <row r="23" spans="1:18" hidden="1" x14ac:dyDescent="0.25"/>
    <row r="24" spans="1:18" hidden="1" x14ac:dyDescent="0.25"/>
    <row r="25" spans="1:18" hidden="1" x14ac:dyDescent="0.25">
      <c r="K25" s="56">
        <v>-2.1677849999999995E-2</v>
      </c>
      <c r="L25" s="56">
        <v>-2.4481799999999998E-2</v>
      </c>
      <c r="M25" s="56">
        <v>-0.10049999999999998</v>
      </c>
      <c r="N25" s="56">
        <v>-1.9476899999999998E-2</v>
      </c>
      <c r="O25" s="56">
        <v>-1.2602700000000001E-2</v>
      </c>
      <c r="P25" s="56">
        <v>-1.6461899999999998E-2</v>
      </c>
      <c r="Q25" s="56">
        <v>-5.7988499999999995E-3</v>
      </c>
      <c r="R25" s="49">
        <f>SUM(K25:Q25)</f>
        <v>-0.20099999999999996</v>
      </c>
    </row>
    <row r="26" spans="1:18" hidden="1" x14ac:dyDescent="0.25"/>
    <row r="27" spans="1:18" hidden="1" x14ac:dyDescent="0.25">
      <c r="K27" s="174">
        <f>K25/$R$25</f>
        <v>0.10785</v>
      </c>
      <c r="L27" s="174">
        <f t="shared" ref="L27:Q27" si="2">L25/$R$25</f>
        <v>0.12180000000000002</v>
      </c>
      <c r="M27" s="174">
        <f t="shared" si="2"/>
        <v>0.5</v>
      </c>
      <c r="N27" s="174">
        <f t="shared" si="2"/>
        <v>9.6900000000000014E-2</v>
      </c>
      <c r="O27" s="174">
        <f t="shared" si="2"/>
        <v>6.270000000000002E-2</v>
      </c>
      <c r="P27" s="174">
        <f t="shared" si="2"/>
        <v>8.1900000000000014E-2</v>
      </c>
      <c r="Q27" s="174">
        <f t="shared" si="2"/>
        <v>2.8850000000000004E-2</v>
      </c>
    </row>
    <row r="28" spans="1:18" hidden="1" x14ac:dyDescent="0.25">
      <c r="K28" s="6">
        <f t="shared" ref="K28:P28" si="3">K27*$R$28</f>
        <v>4.260075E-2</v>
      </c>
      <c r="L28" s="6">
        <f t="shared" si="3"/>
        <v>4.8111000000000008E-2</v>
      </c>
      <c r="M28" s="6">
        <f t="shared" si="3"/>
        <v>0.19750000000000001</v>
      </c>
      <c r="N28" s="6">
        <f t="shared" si="3"/>
        <v>3.8275500000000004E-2</v>
      </c>
      <c r="O28" s="6">
        <f t="shared" si="3"/>
        <v>2.4766500000000007E-2</v>
      </c>
      <c r="P28" s="6">
        <f t="shared" si="3"/>
        <v>3.2350500000000004E-2</v>
      </c>
      <c r="Q28" s="6">
        <f>Q27*$R$28</f>
        <v>1.1395750000000001E-2</v>
      </c>
      <c r="R28" s="6">
        <v>0.39500000000000002</v>
      </c>
    </row>
    <row r="29" spans="1:18" hidden="1" x14ac:dyDescent="0.25"/>
    <row r="30" spans="1:18" hidden="1" x14ac:dyDescent="0.25"/>
  </sheetData>
  <pageMargins left="0.23622047244094491" right="0.23622047244094491" top="0.59055118110236227" bottom="0.59055118110236227" header="0.19685039370078741" footer="0.19685039370078741"/>
  <pageSetup paperSize="8" scale="75" fitToHeight="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2:R34"/>
  <sheetViews>
    <sheetView zoomScale="80" zoomScaleNormal="80" zoomScaleSheetLayoutView="76" workbookViewId="0">
      <selection activeCell="A19" sqref="A7:A19"/>
    </sheetView>
  </sheetViews>
  <sheetFormatPr defaultColWidth="19.140625" defaultRowHeight="12.75" outlineLevelCol="1" x14ac:dyDescent="0.25"/>
  <cols>
    <col min="1" max="1" width="15.42578125" style="2" customWidth="1"/>
    <col min="2" max="2" width="49.5703125" style="3" customWidth="1"/>
    <col min="3" max="3" width="14.28515625" style="4" hidden="1" customWidth="1"/>
    <col min="4" max="4" width="14.28515625" style="5" hidden="1" customWidth="1"/>
    <col min="5" max="5" width="11.5703125" style="6" customWidth="1"/>
    <col min="6" max="7" width="11.5703125" style="4" customWidth="1"/>
    <col min="8" max="8" width="11.5703125" style="7" customWidth="1"/>
    <col min="9" max="9" width="11.5703125" style="8" customWidth="1" outlineLevel="1"/>
    <col min="10" max="10" width="43.28515625" style="9" customWidth="1" outlineLevel="1"/>
    <col min="11" max="17" width="11.5703125" style="4" customWidth="1" outlineLevel="1"/>
    <col min="18" max="18" width="11.5703125" style="6" customWidth="1" outlineLevel="1"/>
    <col min="19" max="22" width="10" style="4" customWidth="1"/>
    <col min="23" max="23" width="13.42578125" style="4" customWidth="1"/>
    <col min="24" max="24" width="10" style="4" customWidth="1"/>
    <col min="25" max="16384" width="19.140625" style="4"/>
  </cols>
  <sheetData>
    <row r="2" spans="1:18" ht="26.25" x14ac:dyDescent="0.25">
      <c r="A2" s="10" t="str">
        <f>'Table 3 - Rollover Baseline'!A2</f>
        <v>2018-21 Financial Plan</v>
      </c>
      <c r="B2" s="10"/>
      <c r="C2" s="11"/>
      <c r="D2" s="12"/>
      <c r="G2" s="13"/>
    </row>
    <row r="3" spans="1:18" ht="26.25" x14ac:dyDescent="0.4">
      <c r="A3" s="14" t="s">
        <v>14</v>
      </c>
      <c r="B3" s="14"/>
      <c r="D3" s="12"/>
      <c r="G3" s="15"/>
      <c r="I3" s="18"/>
      <c r="J3" s="19"/>
      <c r="K3" s="16" t="s">
        <v>15</v>
      </c>
      <c r="L3" s="17"/>
      <c r="M3" s="17"/>
      <c r="N3" s="17"/>
      <c r="O3" s="17"/>
      <c r="P3" s="17"/>
      <c r="Q3" s="17"/>
      <c r="R3" s="20"/>
    </row>
    <row r="4" spans="1:18" ht="18" customHeight="1" x14ac:dyDescent="0.2">
      <c r="A4" s="21"/>
      <c r="B4" s="21"/>
      <c r="D4" s="22"/>
      <c r="K4" s="23"/>
      <c r="L4" s="23"/>
      <c r="M4" s="23"/>
      <c r="N4" s="23"/>
      <c r="O4" s="23"/>
      <c r="P4" s="23"/>
      <c r="Q4" s="23"/>
      <c r="R4" s="24"/>
    </row>
    <row r="5" spans="1:18" ht="18" customHeight="1" thickBot="1" x14ac:dyDescent="0.3">
      <c r="A5" s="25" t="s">
        <v>460</v>
      </c>
      <c r="B5" s="25"/>
      <c r="D5" s="12"/>
      <c r="K5" s="26"/>
      <c r="L5" s="26"/>
      <c r="M5" s="26"/>
      <c r="N5" s="26"/>
      <c r="O5" s="26"/>
      <c r="P5" s="26"/>
      <c r="Q5" s="26"/>
      <c r="R5" s="27"/>
    </row>
    <row r="6" spans="1:18" ht="15" customHeight="1" thickBot="1" x14ac:dyDescent="0.3">
      <c r="B6" s="63" t="s">
        <v>147</v>
      </c>
      <c r="H6" s="83"/>
    </row>
    <row r="7" spans="1:18" s="3" customFormat="1" ht="15" customHeight="1" x14ac:dyDescent="0.25">
      <c r="A7" s="64"/>
      <c r="B7" s="65"/>
      <c r="C7" s="74"/>
      <c r="D7" s="67"/>
      <c r="E7" s="29"/>
      <c r="F7" s="29"/>
      <c r="G7" s="29"/>
      <c r="H7" s="83"/>
      <c r="I7" s="31"/>
      <c r="J7" s="32"/>
      <c r="K7" s="68" t="s">
        <v>0</v>
      </c>
      <c r="L7" s="69" t="s">
        <v>18</v>
      </c>
      <c r="M7" s="69" t="s">
        <v>19</v>
      </c>
      <c r="N7" s="69" t="s">
        <v>20</v>
      </c>
      <c r="O7" s="69" t="s">
        <v>21</v>
      </c>
      <c r="P7" s="70" t="s">
        <v>22</v>
      </c>
      <c r="Q7" s="69" t="s">
        <v>5</v>
      </c>
      <c r="R7" s="71" t="s">
        <v>6</v>
      </c>
    </row>
    <row r="8" spans="1:18" s="3" customFormat="1" ht="15" customHeight="1" thickBot="1" x14ac:dyDescent="0.3">
      <c r="A8" s="72" t="s">
        <v>34</v>
      </c>
      <c r="B8" s="73" t="s">
        <v>614</v>
      </c>
      <c r="C8" s="76"/>
      <c r="D8" s="176" t="s">
        <v>35</v>
      </c>
      <c r="E8" s="38" t="s">
        <v>26</v>
      </c>
      <c r="F8" s="38" t="s">
        <v>151</v>
      </c>
      <c r="G8" s="38" t="s">
        <v>476</v>
      </c>
      <c r="H8" s="83"/>
      <c r="I8" s="39" t="s">
        <v>28</v>
      </c>
      <c r="J8" s="40"/>
      <c r="K8" s="33"/>
      <c r="L8" s="34" t="s">
        <v>29</v>
      </c>
      <c r="M8" s="33" t="s">
        <v>30</v>
      </c>
      <c r="N8" s="34" t="s">
        <v>31</v>
      </c>
      <c r="O8" s="35" t="s">
        <v>32</v>
      </c>
      <c r="P8" s="35" t="s">
        <v>33</v>
      </c>
      <c r="Q8" s="34"/>
      <c r="R8" s="36"/>
    </row>
    <row r="9" spans="1:18" s="3" customFormat="1" ht="15" customHeight="1" thickBot="1" x14ac:dyDescent="0.3">
      <c r="A9" s="75"/>
      <c r="B9" s="75"/>
      <c r="C9" s="74"/>
      <c r="D9" s="104"/>
      <c r="E9" s="41" t="s">
        <v>9</v>
      </c>
      <c r="F9" s="41" t="s">
        <v>9</v>
      </c>
      <c r="G9" s="41" t="s">
        <v>9</v>
      </c>
      <c r="H9" s="83"/>
      <c r="I9" s="43"/>
      <c r="J9" s="44"/>
      <c r="K9" s="45" t="s">
        <v>7</v>
      </c>
      <c r="L9" s="45" t="s">
        <v>7</v>
      </c>
      <c r="M9" s="45" t="s">
        <v>7</v>
      </c>
      <c r="N9" s="46" t="s">
        <v>7</v>
      </c>
      <c r="O9" s="47" t="s">
        <v>7</v>
      </c>
      <c r="P9" s="45" t="s">
        <v>7</v>
      </c>
      <c r="Q9" s="46" t="s">
        <v>8</v>
      </c>
      <c r="R9" s="48"/>
    </row>
    <row r="10" spans="1:18" s="3" customFormat="1" ht="14.25" customHeight="1" thickBot="1" x14ac:dyDescent="0.25">
      <c r="A10" s="78" t="s">
        <v>54</v>
      </c>
      <c r="B10" s="125" t="s">
        <v>431</v>
      </c>
      <c r="C10" s="105"/>
      <c r="D10" s="433" t="s">
        <v>40</v>
      </c>
      <c r="E10" s="106">
        <v>-0.17499999999999999</v>
      </c>
      <c r="F10" s="106">
        <v>-0.35499999999999998</v>
      </c>
      <c r="G10" s="106">
        <v>-0.35499999999999998</v>
      </c>
      <c r="H10" s="83"/>
      <c r="I10" s="51">
        <v>42</v>
      </c>
      <c r="J10" s="79" t="str">
        <f>CONCATENATE(VLOOKUP($I10, '[2]Commissioner Splits'!$A$4:$C$351, 2, FALSE), " - ", VLOOKUP($I10, '[2]Commissioner Splits'!$A$4:$C$351, 3, FALSE))</f>
        <v>Cardiff &amp; Vale - Spinal Implants</v>
      </c>
      <c r="K10" s="56">
        <f>VLOOKUP($I10, 'Commissioner Splits'!$A$4:$J$351, 5, FALSE)*E10</f>
        <v>-2.1108711087110873E-2</v>
      </c>
      <c r="L10" s="56">
        <f>VLOOKUP($I10, 'Commissioner Splits'!$A$4:$J$351, 7, FALSE)*E10</f>
        <v>-5.9715847158471586E-2</v>
      </c>
      <c r="M10" s="56">
        <f>VLOOKUP($I10, '[2]Commissioner Splits'!$A$4:$J$351, 10, FALSE)*E10</f>
        <v>0</v>
      </c>
      <c r="N10" s="56">
        <f>VLOOKUP($I10, '[2]Commissioner Splits'!$A$4:$J$351, 4, FALSE)*E10</f>
        <v>-2.9745047450474512E-2</v>
      </c>
      <c r="O10" s="56">
        <f>VLOOKUP($I10, '[2]Commissioner Splits'!$A$4:$J$351, 6, FALSE)*E10</f>
        <v>-2.6145261452614525E-2</v>
      </c>
      <c r="P10" s="56">
        <f>VLOOKUP($I10, '[2]Commissioner Splits'!$A$4:$J$351, 8, FALSE)*E10</f>
        <v>-3.1404064040640403E-2</v>
      </c>
      <c r="Q10" s="56">
        <f>VLOOKUP($I10, '[2]Commissioner Splits'!$A$4:$J$351,9, FALSE)*E10</f>
        <v>-6.8810688106881067E-3</v>
      </c>
      <c r="R10" s="49">
        <f t="shared" ref="R10:R15" si="0">SUM(K10:Q10)</f>
        <v>-0.17500000000000004</v>
      </c>
    </row>
    <row r="11" spans="1:18" s="3" customFormat="1" ht="14.25" customHeight="1" thickBot="1" x14ac:dyDescent="0.25">
      <c r="A11" s="78" t="s">
        <v>54</v>
      </c>
      <c r="B11" s="127" t="s">
        <v>620</v>
      </c>
      <c r="C11" s="128"/>
      <c r="D11" s="433"/>
      <c r="E11" s="108">
        <v>-0.25</v>
      </c>
      <c r="F11" s="108">
        <v>-0.25</v>
      </c>
      <c r="G11" s="108">
        <v>-0.25</v>
      </c>
      <c r="H11" s="83"/>
      <c r="I11" s="51">
        <v>1</v>
      </c>
      <c r="J11" s="79" t="str">
        <f>CONCATENATE(VLOOKUP($I11, '[2]Commissioner Splits'!$A$4:$C$351, 2, FALSE), " - ", VLOOKUP($I11, '[2]Commissioner Splits'!$A$4:$C$351, 3, FALSE))</f>
        <v>Cardiff &amp; Vale - Haemophilia</v>
      </c>
      <c r="K11" s="56">
        <f>VLOOKUP($I11, 'Commissioner Splits'!$A$4:$J$351, 5, FALSE)*E11</f>
        <v>-2.5884999999999998E-2</v>
      </c>
      <c r="L11" s="56">
        <f>VLOOKUP($I11, 'Commissioner Splits'!$A$4:$J$351, 7, FALSE)*E11</f>
        <v>-6.5177499999999999E-2</v>
      </c>
      <c r="M11" s="56">
        <f>VLOOKUP($I11, '[2]Commissioner Splits'!$A$4:$J$351, 10, FALSE)*E11</f>
        <v>0</v>
      </c>
      <c r="N11" s="56">
        <f>VLOOKUP($I11, '[2]Commissioner Splits'!$A$4:$J$351, 4, FALSE)*E11</f>
        <v>-8.7889999999999996E-2</v>
      </c>
      <c r="O11" s="56">
        <f>VLOOKUP($I11, '[2]Commissioner Splits'!$A$4:$J$351, 6, FALSE)*E11</f>
        <v>-3.6137500000000003E-2</v>
      </c>
      <c r="P11" s="56">
        <f>VLOOKUP($I11, '[2]Commissioner Splits'!$A$4:$J$351, 8, FALSE)*E11</f>
        <v>-9.4275000000000001E-3</v>
      </c>
      <c r="Q11" s="56">
        <f>VLOOKUP($I11, '[2]Commissioner Splits'!$A$4:$J$351,9, FALSE)*E11</f>
        <v>-2.5482500000000002E-2</v>
      </c>
      <c r="R11" s="49">
        <f t="shared" si="0"/>
        <v>-0.25</v>
      </c>
    </row>
    <row r="12" spans="1:18" s="3" customFormat="1" ht="14.25" customHeight="1" thickBot="1" x14ac:dyDescent="0.25">
      <c r="A12" s="78" t="s">
        <v>163</v>
      </c>
      <c r="B12" s="127" t="s">
        <v>432</v>
      </c>
      <c r="C12" s="128"/>
      <c r="D12" s="433"/>
      <c r="E12" s="108">
        <v>-1.75</v>
      </c>
      <c r="F12" s="108">
        <v>-1.25</v>
      </c>
      <c r="G12" s="108">
        <v>-1.25</v>
      </c>
      <c r="H12" s="83"/>
      <c r="I12" s="51">
        <v>210</v>
      </c>
      <c r="J12" s="79" t="str">
        <f>CONCATENATE(VLOOKUP($I12, '[2]Commissioner Splits'!$A$4:$C$351, 2, FALSE), " - ", VLOOKUP($I12, '[2]Commissioner Splits'!$A$4:$C$351, 3, FALSE))</f>
        <v>IPM - Forensic Mental Health</v>
      </c>
      <c r="K12" s="56">
        <f>VLOOKUP($I12, '[2]Commissioner Splits'!$A$4:$J$351, 5, FALSE)*E12</f>
        <v>-0.403863374696175</v>
      </c>
      <c r="L12" s="56">
        <f>VLOOKUP($I12, '[2]Commissioner Splits'!$A$4:$J$351, 7, FALSE)*E12</f>
        <v>-0.18820092959788495</v>
      </c>
      <c r="M12" s="56">
        <f>VLOOKUP($I12, '[2]Commissioner Splits'!$A$4:$J$351, 10, FALSE)*E12</f>
        <v>-0.47565135815103832</v>
      </c>
      <c r="N12" s="56">
        <f>VLOOKUP($I12, '[2]Commissioner Splits'!$A$4:$J$351, 4, FALSE)*E12</f>
        <v>-0.34707475160973944</v>
      </c>
      <c r="O12" s="56">
        <f>VLOOKUP($I12, '[2]Commissioner Splits'!$A$4:$J$351, 6, FALSE)*E12</f>
        <v>-0.15641124045882904</v>
      </c>
      <c r="P12" s="56">
        <f>VLOOKUP($I12, '[2]Commissioner Splits'!$A$4:$J$351, 8, FALSE)*E12</f>
        <v>-8.6264978039316029E-2</v>
      </c>
      <c r="Q12" s="56">
        <f>VLOOKUP($I12, '[2]Commissioner Splits'!$A$4:$J$351,9, FALSE)*E12</f>
        <v>-9.2533367447017192E-2</v>
      </c>
      <c r="R12" s="49">
        <f t="shared" si="0"/>
        <v>-1.75</v>
      </c>
    </row>
    <row r="13" spans="1:18" s="3" customFormat="1" ht="14.25" customHeight="1" thickBot="1" x14ac:dyDescent="0.25">
      <c r="A13" s="107" t="s">
        <v>23</v>
      </c>
      <c r="B13" s="127" t="s">
        <v>430</v>
      </c>
      <c r="C13" s="128"/>
      <c r="D13" s="433"/>
      <c r="E13" s="108">
        <v>-0.39500000000000002</v>
      </c>
      <c r="F13" s="108">
        <v>-0.39500000000000002</v>
      </c>
      <c r="G13" s="108">
        <v>-0.39500000000000002</v>
      </c>
      <c r="H13" s="83"/>
      <c r="I13" s="51"/>
      <c r="J13" s="79" t="s">
        <v>161</v>
      </c>
      <c r="K13" s="56">
        <v>-4.260075E-2</v>
      </c>
      <c r="L13" s="56">
        <v>-4.8111000000000008E-2</v>
      </c>
      <c r="M13" s="56">
        <v>-0.19750000000000001</v>
      </c>
      <c r="N13" s="56">
        <v>-3.8275500000000004E-2</v>
      </c>
      <c r="O13" s="56">
        <v>-2.4766500000000007E-2</v>
      </c>
      <c r="P13" s="56">
        <v>-3.2350500000000004E-2</v>
      </c>
      <c r="Q13" s="56">
        <v>-1.1395750000000001E-2</v>
      </c>
      <c r="R13" s="49">
        <f t="shared" si="0"/>
        <v>-0.39500000000000002</v>
      </c>
    </row>
    <row r="14" spans="1:18" s="3" customFormat="1" ht="14.25" customHeight="1" thickBot="1" x14ac:dyDescent="0.25">
      <c r="A14" s="107" t="s">
        <v>619</v>
      </c>
      <c r="B14" s="127" t="s">
        <v>582</v>
      </c>
      <c r="C14" s="128"/>
      <c r="D14" s="433"/>
      <c r="E14" s="108">
        <v>-6.2447000000000003E-2</v>
      </c>
      <c r="F14" s="108">
        <v>-6.2447000000000003E-2</v>
      </c>
      <c r="G14" s="108">
        <v>-6.2447000000000003E-2</v>
      </c>
      <c r="H14" s="83"/>
      <c r="I14" s="51">
        <v>322</v>
      </c>
      <c r="J14" s="79" t="str">
        <f>CONCATENATE(VLOOKUP($I14, '[2]Commissioner Splits'!$A$4:$C$351, 2, FALSE), " - ", VLOOKUP($I14, '[2]Commissioner Splits'!$A$4:$C$351, 3, FALSE))</f>
        <v>Unallocated - All Wales Population</v>
      </c>
      <c r="K14" s="56">
        <f>VLOOKUP($I14, '[2]Commissioner Splits'!$A$4:$J$351, 5, FALSE)*E14</f>
        <v>-1.0397425500000002E-2</v>
      </c>
      <c r="L14" s="56">
        <f>VLOOKUP($I14, '[2]Commissioner Splits'!$A$4:$J$351, 7, FALSE)*E14</f>
        <v>-1.1740036000000001E-2</v>
      </c>
      <c r="M14" s="56">
        <f>VLOOKUP($I14, '[2]Commissioner Splits'!$A$4:$J$351, 10, FALSE)*E14</f>
        <v>-1.4250405399999999E-2</v>
      </c>
      <c r="N14" s="56">
        <f>VLOOKUP($I14, '[2]Commissioner Splits'!$A$4:$J$351, 4, FALSE)*E14</f>
        <v>-9.3420712000000013E-3</v>
      </c>
      <c r="O14" s="56">
        <f>VLOOKUP($I14, '[2]Commissioner Splits'!$A$4:$J$351, 6, FALSE)*E14</f>
        <v>-6.0448695999999998E-3</v>
      </c>
      <c r="P14" s="56">
        <f>VLOOKUP($I14, '[2]Commissioner Splits'!$A$4:$J$351, 8, FALSE)*E14</f>
        <v>-7.8933008000000009E-3</v>
      </c>
      <c r="Q14" s="56">
        <f>VLOOKUP($I14, '[2]Commissioner Splits'!$A$4:$J$351,9, FALSE)*E14</f>
        <v>-2.7788915000000001E-3</v>
      </c>
      <c r="R14" s="49">
        <f t="shared" si="0"/>
        <v>-6.2447000000000009E-2</v>
      </c>
    </row>
    <row r="15" spans="1:18" s="3" customFormat="1" ht="14.25" customHeight="1" thickBot="1" x14ac:dyDescent="0.25">
      <c r="A15" s="107" t="s">
        <v>444</v>
      </c>
      <c r="B15" s="127" t="s">
        <v>160</v>
      </c>
      <c r="C15" s="128"/>
      <c r="D15" s="433"/>
      <c r="E15" s="108">
        <v>-0.08</v>
      </c>
      <c r="F15" s="108">
        <v>-0.08</v>
      </c>
      <c r="G15" s="108">
        <v>-0.08</v>
      </c>
      <c r="H15" s="83"/>
      <c r="I15" s="51">
        <v>191</v>
      </c>
      <c r="J15" s="79" t="str">
        <f>CONCATENATE(VLOOKUP($I15, '[2]Commissioner Splits'!$A$4:$C$351, 2, FALSE), " - ", VLOOKUP($I15, '[2]Commissioner Splits'!$A$4:$C$351, 3, FALSE))</f>
        <v>Non Welsh SLAs - HCS Activity Project</v>
      </c>
      <c r="K15" s="56">
        <f>VLOOKUP($I15, '[2]Commissioner Splits'!$A$4:$J$351, 5, FALSE)*E15</f>
        <v>-8.0510720000000011E-3</v>
      </c>
      <c r="L15" s="56">
        <f>VLOOKUP($I15, '[2]Commissioner Splits'!$A$4:$J$351, 7, FALSE)*E15</f>
        <v>-9.3010720000000005E-3</v>
      </c>
      <c r="M15" s="56">
        <f>VLOOKUP($I15, '[2]Commissioner Splits'!$A$4:$J$351, 10, FALSE)*E15</f>
        <v>-3.1804552E-2</v>
      </c>
      <c r="N15" s="56">
        <f>VLOOKUP($I15, '[2]Commissioner Splits'!$A$4:$J$351, 4, FALSE)*E15</f>
        <v>-8.9198160000000005E-3</v>
      </c>
      <c r="O15" s="56">
        <f>VLOOKUP($I15, '[2]Commissioner Splits'!$A$4:$J$351, 6, FALSE)*E15</f>
        <v>-3.2687440000000001E-3</v>
      </c>
      <c r="P15" s="56">
        <f>VLOOKUP($I15, '[2]Commissioner Splits'!$A$4:$J$351, 8, FALSE)*E15</f>
        <v>-5.8811280000000002E-3</v>
      </c>
      <c r="Q15" s="56">
        <f>VLOOKUP($I15, '[2]Commissioner Splits'!$A$4:$J$351,9, FALSE)*E15</f>
        <v>-1.2773616000000002E-2</v>
      </c>
      <c r="R15" s="49">
        <f t="shared" si="0"/>
        <v>-0.08</v>
      </c>
    </row>
    <row r="16" spans="1:18" ht="14.25" customHeight="1" x14ac:dyDescent="0.2">
      <c r="A16" s="425" t="s">
        <v>445</v>
      </c>
      <c r="B16" s="426" t="s">
        <v>446</v>
      </c>
      <c r="C16" s="425"/>
      <c r="D16" s="427"/>
      <c r="E16" s="93">
        <v>-6.9000000000000006E-2</v>
      </c>
      <c r="F16" s="93">
        <v>-6.9000000000000006E-2</v>
      </c>
      <c r="G16" s="93">
        <v>-6.9000000000000006E-2</v>
      </c>
      <c r="H16" s="83"/>
      <c r="I16" s="51">
        <v>267</v>
      </c>
      <c r="J16" s="79" t="str">
        <f>CONCATENATE(VLOOKUP($I16, '[2]Commissioner Splits'!$A$4:$C$351, 2, FALSE), " - ", VLOOKUP($I16, '[2]Commissioner Splits'!$A$4:$C$351, 3, FALSE))</f>
        <v>15/16 Developments - NWIS data validation</v>
      </c>
      <c r="K16" s="56">
        <f>VLOOKUP($I16, '[2]Commissioner Splits'!$A$4:$J$351, 5, FALSE)*E16</f>
        <v>-1.1488500000000002E-2</v>
      </c>
      <c r="L16" s="56">
        <f>VLOOKUP($I16, '[2]Commissioner Splits'!$A$4:$J$351, 7, FALSE)*E16</f>
        <v>-1.2972000000000001E-2</v>
      </c>
      <c r="M16" s="56">
        <f>VLOOKUP($I16, '[2]Commissioner Splits'!$A$4:$J$351, 10, FALSE)*E16</f>
        <v>-1.5745800000000001E-2</v>
      </c>
      <c r="N16" s="56">
        <f>VLOOKUP($I16, '[2]Commissioner Splits'!$A$4:$J$351, 4, FALSE)*E16</f>
        <v>-1.0322400000000002E-2</v>
      </c>
      <c r="O16" s="56">
        <f>VLOOKUP($I16, '[2]Commissioner Splits'!$A$4:$J$351, 6, FALSE)*E16</f>
        <v>-6.6792000000000006E-3</v>
      </c>
      <c r="P16" s="56">
        <f>VLOOKUP($I16, '[2]Commissioner Splits'!$A$4:$J$351, 8, FALSE)*E16</f>
        <v>-8.7216000000000012E-3</v>
      </c>
      <c r="Q16" s="56">
        <f>VLOOKUP($I16, '[2]Commissioner Splits'!$A$4:$J$351,9, FALSE)*E16</f>
        <v>-3.0705000000000003E-3</v>
      </c>
      <c r="R16" s="49">
        <f t="shared" ref="R16" si="1">SUM(K16:Q16)</f>
        <v>-6.9000000000000006E-2</v>
      </c>
    </row>
    <row r="17" spans="1:18" ht="14.25" customHeight="1" x14ac:dyDescent="0.2">
      <c r="A17" s="54" t="s">
        <v>464</v>
      </c>
      <c r="B17" s="431" t="s">
        <v>462</v>
      </c>
      <c r="C17" s="428"/>
      <c r="D17" s="433"/>
      <c r="E17" s="56">
        <v>-0.41533900000000001</v>
      </c>
      <c r="F17" s="56">
        <v>-0.38900000000000001</v>
      </c>
      <c r="G17" s="56">
        <v>-0.38900000000000001</v>
      </c>
      <c r="H17" s="83"/>
      <c r="I17" s="51">
        <v>266</v>
      </c>
      <c r="J17" s="79" t="str">
        <f>CONCATENATE(VLOOKUP($I17, '[2]Commissioner Splits'!$A$4:$C$351, 2, FALSE), " - ", VLOOKUP($I17, '[2]Commissioner Splits'!$A$4:$C$351, 3, FALSE))</f>
        <v>15/16 Developments - Radio Labelled Therapies</v>
      </c>
      <c r="K17" s="56">
        <f>VLOOKUP($I17, 'Commissioner Splits'!$A$268:K275, 5, FALSE)*E17</f>
        <v>-8.9588622300000004E-2</v>
      </c>
      <c r="L17" s="56">
        <f>VLOOKUP($I17, 'Commissioner Splits'!$A$268:L275, 7, FALSE)*$E17</f>
        <v>-0.10117658040000001</v>
      </c>
      <c r="M17" s="56">
        <f>VLOOKUP($I17, 'Commissioner Splits'!$A$268:M275, 10, FALSE)*$E17</f>
        <v>0</v>
      </c>
      <c r="N17" s="56">
        <f>VLOOKUP($I17, 'Commissioner Splits'!$A$268:N275, 4, FALSE)*$E17</f>
        <v>-8.0492698200000004E-2</v>
      </c>
      <c r="O17" s="56">
        <f>VLOOKUP($I17, 'Commissioner Splits'!$A$268:O275, 6, FALSE)*$E17</f>
        <v>-5.2083510600000008E-2</v>
      </c>
      <c r="P17" s="56">
        <f>VLOOKUP($I17, 'Commissioner Splits'!$A$268:P275, 8, FALSE)*$E17</f>
        <v>-6.8032528199999998E-2</v>
      </c>
      <c r="Q17" s="56">
        <f>VLOOKUP($I17, 'Commissioner Splits'!$A$268:Q275, 9, FALSE)*$E17</f>
        <v>-2.39650603E-2</v>
      </c>
      <c r="R17" s="49">
        <f t="shared" ref="R17" si="2">SUM(K17:Q17)</f>
        <v>-0.41533900000000001</v>
      </c>
    </row>
    <row r="18" spans="1:18" ht="14.25" customHeight="1" x14ac:dyDescent="0.2">
      <c r="A18" s="54" t="s">
        <v>464</v>
      </c>
      <c r="B18" s="429" t="s">
        <v>463</v>
      </c>
      <c r="C18" s="428"/>
      <c r="D18" s="433"/>
      <c r="E18" s="56">
        <v>-0.3</v>
      </c>
      <c r="F18" s="56">
        <v>-0.3</v>
      </c>
      <c r="G18" s="56">
        <v>-0.3</v>
      </c>
      <c r="H18" s="83"/>
      <c r="I18" s="51">
        <v>266</v>
      </c>
      <c r="J18" s="79" t="str">
        <f>CONCATENATE(VLOOKUP($I18, '[2]Commissioner Splits'!$A$4:$C$351, 2, FALSE), " - ", VLOOKUP($I18, '[2]Commissioner Splits'!$A$4:$C$351, 3, FALSE))</f>
        <v>15/16 Developments - Radio Labelled Therapies</v>
      </c>
      <c r="K18" s="56">
        <f>VLOOKUP($I18, 'Commissioner Splits'!$A$268:K276, 5, FALSE)*E18</f>
        <v>-6.4710000000000004E-2</v>
      </c>
      <c r="L18" s="56">
        <f>VLOOKUP($I18, 'Commissioner Splits'!$A$268:L276, 7, FALSE)*$E18</f>
        <v>-7.3080000000000006E-2</v>
      </c>
      <c r="M18" s="56">
        <f>VLOOKUP($I18, 'Commissioner Splits'!$A$268:M276, 10, FALSE)*$E18</f>
        <v>0</v>
      </c>
      <c r="N18" s="56">
        <f>VLOOKUP($I18, 'Commissioner Splits'!$A$268:N276, 4, FALSE)*$E18</f>
        <v>-5.8139999999999997E-2</v>
      </c>
      <c r="O18" s="56">
        <f>VLOOKUP($I18, 'Commissioner Splits'!$A$268:O276, 6, FALSE)*$E18</f>
        <v>-3.7620000000000001E-2</v>
      </c>
      <c r="P18" s="56">
        <f>VLOOKUP($I18, 'Commissioner Splits'!$A$268:P276, 8, FALSE)*$E18</f>
        <v>-4.9139999999999996E-2</v>
      </c>
      <c r="Q18" s="56">
        <f>VLOOKUP($I18, 'Commissioner Splits'!$A$268:Q276, 9, FALSE)*$E18</f>
        <v>-1.7309999999999999E-2</v>
      </c>
      <c r="R18" s="49">
        <f t="shared" ref="R18" si="3">SUM(K18:Q18)</f>
        <v>-0.30000000000000004</v>
      </c>
    </row>
    <row r="19" spans="1:18" ht="14.25" customHeight="1" thickBot="1" x14ac:dyDescent="0.25">
      <c r="A19" s="109" t="s">
        <v>54</v>
      </c>
      <c r="B19" s="432" t="s">
        <v>407</v>
      </c>
      <c r="C19" s="430"/>
      <c r="D19" s="433"/>
      <c r="E19" s="56">
        <v>-0.25</v>
      </c>
      <c r="F19" s="110">
        <v>-0.25</v>
      </c>
      <c r="G19" s="110">
        <v>-0.25</v>
      </c>
      <c r="H19" s="83"/>
      <c r="I19" s="94"/>
      <c r="J19" s="79" t="s">
        <v>408</v>
      </c>
      <c r="K19" s="56"/>
      <c r="L19" s="56">
        <v>-0.1575</v>
      </c>
      <c r="M19" s="56"/>
      <c r="N19" s="56"/>
      <c r="O19" s="56">
        <v>-9.2499999999999999E-2</v>
      </c>
      <c r="P19" s="56"/>
      <c r="Q19" s="56"/>
      <c r="R19" s="49">
        <f t="shared" ref="R19" si="4">SUM(K19:Q19)</f>
        <v>-0.25</v>
      </c>
    </row>
    <row r="20" spans="1:18" ht="14.25" customHeight="1" thickBot="1" x14ac:dyDescent="0.25">
      <c r="A20" s="584"/>
      <c r="B20" s="585"/>
      <c r="C20" s="422"/>
      <c r="D20" s="453"/>
      <c r="E20" s="93"/>
      <c r="F20" s="93"/>
      <c r="G20" s="93"/>
      <c r="H20" s="83"/>
      <c r="I20" s="94"/>
      <c r="J20" s="124"/>
      <c r="K20" s="93"/>
      <c r="L20" s="93"/>
      <c r="M20" s="93"/>
      <c r="N20" s="93"/>
      <c r="O20" s="93"/>
      <c r="P20" s="93"/>
      <c r="Q20" s="93"/>
      <c r="R20" s="95"/>
    </row>
    <row r="21" spans="1:18" ht="14.25" customHeight="1" thickBot="1" x14ac:dyDescent="0.3">
      <c r="A21" s="81"/>
      <c r="B21" s="102"/>
      <c r="D21" s="87"/>
      <c r="E21" s="60">
        <f>SUM(E10:E19)</f>
        <v>-3.7467859999999997</v>
      </c>
      <c r="F21" s="60">
        <f t="shared" ref="F21:G21" si="5">SUM(F10:F19)</f>
        <v>-3.4004469999999998</v>
      </c>
      <c r="G21" s="60">
        <f t="shared" si="5"/>
        <v>-3.4004469999999998</v>
      </c>
      <c r="H21" s="83"/>
      <c r="I21" s="88"/>
      <c r="J21" s="89"/>
      <c r="K21" s="60">
        <f>SUM(K10:K19)</f>
        <v>-0.67769345558328586</v>
      </c>
      <c r="L21" s="60">
        <f t="shared" ref="L21:R21" si="6">SUM(L10:L19)</f>
        <v>-0.72697496515635651</v>
      </c>
      <c r="M21" s="60">
        <f t="shared" si="6"/>
        <v>-0.73495211555103834</v>
      </c>
      <c r="N21" s="60">
        <f t="shared" si="6"/>
        <v>-0.6702022844602139</v>
      </c>
      <c r="O21" s="60">
        <f t="shared" si="6"/>
        <v>-0.44165682611144352</v>
      </c>
      <c r="P21" s="60">
        <f t="shared" si="6"/>
        <v>-0.29911559907995644</v>
      </c>
      <c r="Q21" s="60">
        <f t="shared" si="6"/>
        <v>-0.19619075405770528</v>
      </c>
      <c r="R21" s="60">
        <f t="shared" si="6"/>
        <v>-3.7467860000000002</v>
      </c>
    </row>
    <row r="22" spans="1:18" x14ac:dyDescent="0.25">
      <c r="H22" s="83"/>
      <c r="I22" s="4"/>
      <c r="J22" s="4"/>
    </row>
    <row r="26" spans="1:18" hidden="1" x14ac:dyDescent="0.25">
      <c r="L26" s="6">
        <f>L17/R17</f>
        <v>0.24360000000000001</v>
      </c>
      <c r="O26" s="6">
        <f>O17/R17</f>
        <v>0.12540000000000001</v>
      </c>
    </row>
    <row r="27" spans="1:18" hidden="1" x14ac:dyDescent="0.25"/>
    <row r="28" spans="1:18" hidden="1" x14ac:dyDescent="0.25"/>
    <row r="29" spans="1:18" hidden="1" x14ac:dyDescent="0.25">
      <c r="K29" s="56">
        <v>-2.1677849999999995E-2</v>
      </c>
      <c r="L29" s="56">
        <v>-2.4481799999999998E-2</v>
      </c>
      <c r="M29" s="56">
        <v>-0.10049999999999998</v>
      </c>
      <c r="N29" s="56">
        <v>-1.9476899999999998E-2</v>
      </c>
      <c r="O29" s="56">
        <v>-1.2602700000000001E-2</v>
      </c>
      <c r="P29" s="56">
        <v>-1.6461899999999998E-2</v>
      </c>
      <c r="Q29" s="56">
        <v>-5.7988499999999995E-3</v>
      </c>
      <c r="R29" s="49">
        <f>SUM(K29:Q29)</f>
        <v>-0.20099999999999996</v>
      </c>
    </row>
    <row r="30" spans="1:18" hidden="1" x14ac:dyDescent="0.25"/>
    <row r="31" spans="1:18" hidden="1" x14ac:dyDescent="0.25">
      <c r="K31" s="174">
        <f>K29/$R$29</f>
        <v>0.10785</v>
      </c>
      <c r="L31" s="174">
        <f t="shared" ref="L31:Q31" si="7">L29/$R$29</f>
        <v>0.12180000000000002</v>
      </c>
      <c r="M31" s="174">
        <f t="shared" si="7"/>
        <v>0.5</v>
      </c>
      <c r="N31" s="174">
        <f t="shared" si="7"/>
        <v>9.6900000000000014E-2</v>
      </c>
      <c r="O31" s="174">
        <f t="shared" si="7"/>
        <v>6.270000000000002E-2</v>
      </c>
      <c r="P31" s="174">
        <f t="shared" si="7"/>
        <v>8.1900000000000014E-2</v>
      </c>
      <c r="Q31" s="174">
        <f t="shared" si="7"/>
        <v>2.8850000000000004E-2</v>
      </c>
    </row>
    <row r="32" spans="1:18" hidden="1" x14ac:dyDescent="0.25">
      <c r="K32" s="6">
        <f t="shared" ref="K32:P32" si="8">K31*$R$32</f>
        <v>4.260075E-2</v>
      </c>
      <c r="L32" s="6">
        <f t="shared" si="8"/>
        <v>4.8111000000000008E-2</v>
      </c>
      <c r="M32" s="6">
        <f t="shared" si="8"/>
        <v>0.19750000000000001</v>
      </c>
      <c r="N32" s="6">
        <f t="shared" si="8"/>
        <v>3.8275500000000004E-2</v>
      </c>
      <c r="O32" s="6">
        <f t="shared" si="8"/>
        <v>2.4766500000000007E-2</v>
      </c>
      <c r="P32" s="6">
        <f t="shared" si="8"/>
        <v>3.2350500000000004E-2</v>
      </c>
      <c r="Q32" s="6">
        <f>Q31*$R$32</f>
        <v>1.1395750000000001E-2</v>
      </c>
      <c r="R32" s="6">
        <v>0.39500000000000002</v>
      </c>
    </row>
    <row r="33" hidden="1" x14ac:dyDescent="0.25"/>
    <row r="34" hidden="1" x14ac:dyDescent="0.25"/>
  </sheetData>
  <pageMargins left="0.23622047244094491" right="0.23622047244094491" top="0.59055118110236227" bottom="0.59055118110236227" header="0.19685039370078741" footer="0.19685039370078741"/>
  <pageSetup paperSize="8" scale="58" fitToHeight="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2:R43"/>
  <sheetViews>
    <sheetView zoomScale="80" zoomScaleNormal="80" zoomScaleSheetLayoutView="76" workbookViewId="0">
      <selection activeCell="A41" sqref="A35:XFD41"/>
    </sheetView>
  </sheetViews>
  <sheetFormatPr defaultColWidth="19.140625" defaultRowHeight="12.75" outlineLevelCol="1" x14ac:dyDescent="0.25"/>
  <cols>
    <col min="1" max="1" width="20.85546875" style="2" customWidth="1"/>
    <col min="2" max="2" width="49.5703125" style="3" customWidth="1"/>
    <col min="3" max="3" width="14.28515625" style="4" hidden="1" customWidth="1"/>
    <col min="4" max="4" width="14.28515625" style="5" hidden="1" customWidth="1"/>
    <col min="5" max="5" width="11.5703125" style="6" customWidth="1"/>
    <col min="6" max="7" width="11.5703125" style="4" customWidth="1"/>
    <col min="8" max="8" width="11.5703125" style="7" customWidth="1"/>
    <col min="9" max="9" width="11.5703125" style="8" hidden="1" customWidth="1" outlineLevel="1"/>
    <col min="10" max="10" width="43.28515625" style="9" hidden="1" customWidth="1" outlineLevel="1"/>
    <col min="11" max="17" width="11.5703125" style="4" customWidth="1" outlineLevel="1"/>
    <col min="18" max="18" width="11.5703125" style="6" customWidth="1" outlineLevel="1"/>
    <col min="19" max="22" width="10" style="4" customWidth="1"/>
    <col min="23" max="23" width="13.42578125" style="4" customWidth="1"/>
    <col min="24" max="24" width="10" style="4" customWidth="1"/>
    <col min="25" max="16384" width="19.140625" style="4"/>
  </cols>
  <sheetData>
    <row r="2" spans="1:18" ht="26.25" x14ac:dyDescent="0.25">
      <c r="A2" s="10" t="str">
        <f>'Table 5 - VBC Workstreams'!A2</f>
        <v>2018-21 Financial Plan</v>
      </c>
      <c r="B2" s="10"/>
      <c r="C2" s="11"/>
      <c r="D2" s="12"/>
      <c r="G2" s="13"/>
    </row>
    <row r="3" spans="1:18" ht="26.25" x14ac:dyDescent="0.4">
      <c r="A3" s="14" t="s">
        <v>14</v>
      </c>
      <c r="B3" s="14"/>
      <c r="D3" s="12"/>
      <c r="G3" s="15" t="s">
        <v>162</v>
      </c>
      <c r="I3" s="18"/>
      <c r="J3" s="19"/>
      <c r="K3" s="16" t="s">
        <v>15</v>
      </c>
      <c r="L3" s="17"/>
      <c r="M3" s="17"/>
      <c r="N3" s="17"/>
      <c r="O3" s="17"/>
      <c r="P3" s="17"/>
      <c r="Q3" s="17"/>
      <c r="R3" s="20"/>
    </row>
    <row r="4" spans="1:18" ht="18" customHeight="1" x14ac:dyDescent="0.2">
      <c r="A4" s="21"/>
      <c r="B4" s="21"/>
      <c r="D4" s="22"/>
      <c r="K4" s="23"/>
      <c r="L4" s="23"/>
      <c r="M4" s="23"/>
      <c r="N4" s="23"/>
      <c r="O4" s="23"/>
      <c r="P4" s="23"/>
      <c r="Q4" s="23"/>
      <c r="R4" s="24"/>
    </row>
    <row r="5" spans="1:18" ht="18" customHeight="1" thickBot="1" x14ac:dyDescent="0.3">
      <c r="A5" s="25" t="s">
        <v>188</v>
      </c>
      <c r="B5" s="25"/>
      <c r="D5" s="12"/>
      <c r="K5" s="26"/>
      <c r="L5" s="26"/>
      <c r="M5" s="26"/>
      <c r="N5" s="26"/>
      <c r="O5" s="26"/>
      <c r="P5" s="26"/>
      <c r="Q5" s="26"/>
      <c r="R5" s="27"/>
    </row>
    <row r="6" spans="1:18" ht="18.75" customHeight="1" x14ac:dyDescent="0.25">
      <c r="B6" s="61"/>
      <c r="D6" s="62"/>
    </row>
    <row r="7" spans="1:18" x14ac:dyDescent="0.25">
      <c r="H7" s="83"/>
      <c r="I7" s="4"/>
      <c r="J7" s="4"/>
    </row>
    <row r="8" spans="1:18" ht="16.5" thickBot="1" x14ac:dyDescent="0.3">
      <c r="B8" s="63" t="s">
        <v>189</v>
      </c>
      <c r="H8" s="83"/>
      <c r="R8" s="4"/>
    </row>
    <row r="9" spans="1:18" x14ac:dyDescent="0.25">
      <c r="A9" s="64"/>
      <c r="B9" s="65"/>
      <c r="C9" s="66"/>
      <c r="D9" s="67"/>
      <c r="E9" s="29"/>
      <c r="F9" s="29"/>
      <c r="G9" s="29"/>
      <c r="H9" s="83"/>
      <c r="I9" s="31"/>
      <c r="J9" s="32"/>
      <c r="K9" s="68" t="s">
        <v>0</v>
      </c>
      <c r="L9" s="69" t="s">
        <v>18</v>
      </c>
      <c r="M9" s="69" t="s">
        <v>19</v>
      </c>
      <c r="N9" s="69" t="s">
        <v>20</v>
      </c>
      <c r="O9" s="69" t="s">
        <v>21</v>
      </c>
      <c r="P9" s="70" t="s">
        <v>22</v>
      </c>
      <c r="Q9" s="69" t="s">
        <v>5</v>
      </c>
      <c r="R9" s="69" t="s">
        <v>6</v>
      </c>
    </row>
    <row r="10" spans="1:18" ht="39.75" customHeight="1" x14ac:dyDescent="0.25">
      <c r="A10" s="72" t="s">
        <v>34</v>
      </c>
      <c r="B10" s="73" t="s">
        <v>139</v>
      </c>
      <c r="C10" s="74"/>
      <c r="D10" s="176" t="s">
        <v>35</v>
      </c>
      <c r="E10" s="38" t="s">
        <v>26</v>
      </c>
      <c r="F10" s="38" t="s">
        <v>151</v>
      </c>
      <c r="G10" s="38" t="s">
        <v>476</v>
      </c>
      <c r="H10" s="83"/>
      <c r="I10" s="39" t="s">
        <v>28</v>
      </c>
      <c r="J10" s="40"/>
      <c r="K10" s="33"/>
      <c r="L10" s="34" t="s">
        <v>29</v>
      </c>
      <c r="M10" s="33" t="s">
        <v>30</v>
      </c>
      <c r="N10" s="34" t="s">
        <v>31</v>
      </c>
      <c r="O10" s="35" t="s">
        <v>32</v>
      </c>
      <c r="P10" s="35" t="s">
        <v>33</v>
      </c>
      <c r="Q10" s="34"/>
      <c r="R10" s="34"/>
    </row>
    <row r="11" spans="1:18" ht="13.5" thickBot="1" x14ac:dyDescent="0.3">
      <c r="A11" s="75"/>
      <c r="B11" s="75"/>
      <c r="C11" s="76"/>
      <c r="D11" s="104"/>
      <c r="E11" s="41" t="s">
        <v>9</v>
      </c>
      <c r="F11" s="41" t="s">
        <v>9</v>
      </c>
      <c r="G11" s="41" t="s">
        <v>9</v>
      </c>
      <c r="H11" s="83"/>
      <c r="I11" s="43"/>
      <c r="J11" s="44"/>
      <c r="K11" s="45" t="s">
        <v>7</v>
      </c>
      <c r="L11" s="45" t="s">
        <v>7</v>
      </c>
      <c r="M11" s="45" t="s">
        <v>7</v>
      </c>
      <c r="N11" s="46" t="s">
        <v>7</v>
      </c>
      <c r="O11" s="47" t="s">
        <v>7</v>
      </c>
      <c r="P11" s="45" t="s">
        <v>7</v>
      </c>
      <c r="Q11" s="46" t="s">
        <v>8</v>
      </c>
      <c r="R11" s="46"/>
    </row>
    <row r="12" spans="1:18" ht="14.25" customHeight="1" x14ac:dyDescent="0.25">
      <c r="A12" s="370" t="s">
        <v>36</v>
      </c>
      <c r="B12" s="371" t="s">
        <v>468</v>
      </c>
      <c r="C12" s="372"/>
      <c r="D12" s="373" t="s">
        <v>40</v>
      </c>
      <c r="E12" s="375">
        <v>0.35</v>
      </c>
      <c r="F12" s="186">
        <v>0.8</v>
      </c>
      <c r="G12" s="186">
        <v>1.2</v>
      </c>
      <c r="H12" s="83"/>
      <c r="I12" s="392">
        <v>207</v>
      </c>
      <c r="J12" s="79" t="str">
        <f>CONCATENATE(VLOOKUP($I12, '[2]Commissioner Splits'!$A$4:$C$351, 2, FALSE), " - ", VLOOKUP($I12, '[2]Commissioner Splits'!$A$4:$C$351, 3, FALSE))</f>
        <v>IPM - HPN</v>
      </c>
      <c r="K12" s="186">
        <f>VLOOKUP($I12, '[2]Commissioner Splits'!$A$4:$J$351, 5, FALSE)*E12</f>
        <v>2.6269331036279972E-2</v>
      </c>
      <c r="L12" s="186">
        <f>VLOOKUP($I12, '[2]Commissioner Splits'!$A$4:$J$351, 7, FALSE)*E12</f>
        <v>7.9418211375284528E-2</v>
      </c>
      <c r="M12" s="186">
        <f>VLOOKUP($I12, '[2]Commissioner Splits'!$A$4:$J$351, 10, FALSE)*E12</f>
        <v>3.5352229495651089E-2</v>
      </c>
      <c r="N12" s="186">
        <f>VLOOKUP($I12, '[2]Commissioner Splits'!$A$4:$J$351, 4, FALSE)*E12</f>
        <v>0.12336075579595362</v>
      </c>
      <c r="O12" s="186">
        <f>VLOOKUP($I12, '[2]Commissioner Splits'!$A$4:$J$351, 6, FALSE)*E12</f>
        <v>5.4357530511216785E-2</v>
      </c>
      <c r="P12" s="186">
        <f>VLOOKUP($I12, '[2]Commissioner Splits'!$A$4:$J$351, 8, FALSE)*E12</f>
        <v>2.5189371476575646E-2</v>
      </c>
      <c r="Q12" s="186">
        <f>VLOOKUP($I12, '[2]Commissioner Splits'!$A$4:$J$351,9, FALSE)*E12</f>
        <v>6.0525703090383376E-3</v>
      </c>
      <c r="R12" s="49">
        <f t="shared" ref="R12:R23" si="0">SUM(K12:Q12)</f>
        <v>0.35</v>
      </c>
    </row>
    <row r="13" spans="1:18" ht="14.25" customHeight="1" x14ac:dyDescent="0.25">
      <c r="A13" s="500" t="s">
        <v>143</v>
      </c>
      <c r="B13" s="501" t="s">
        <v>532</v>
      </c>
      <c r="C13" s="502"/>
      <c r="D13" s="503"/>
      <c r="E13" s="386">
        <v>0.5</v>
      </c>
      <c r="F13" s="50">
        <v>0.5</v>
      </c>
      <c r="G13" s="50">
        <v>0.5</v>
      </c>
      <c r="H13" s="83"/>
      <c r="I13" s="117">
        <v>189</v>
      </c>
      <c r="J13" s="79" t="str">
        <f>CONCATENATE(VLOOKUP($I13, '[2]Commissioner Splits'!$A$4:$C$351, 2, FALSE), " - ", VLOOKUP($I13, '[2]Commissioner Splits'!$A$4:$C$351, 3, FALSE))</f>
        <v>Non Welsh SLAs - PETIC</v>
      </c>
      <c r="K13" s="419">
        <f>VLOOKUP($I13, 'Commissioner Splits'!$A$4:$J$351, 5, FALSE)*E13</f>
        <v>0.1165644171779141</v>
      </c>
      <c r="L13" s="56">
        <f>VLOOKUP($I13, 'Commissioner Splits'!$A$4:$J$351, 7, FALSE)*E13</f>
        <v>0.11184521000471921</v>
      </c>
      <c r="M13" s="56">
        <f>VLOOKUP($I13, 'Commissioner Splits'!$A$4:$J$351, 10, FALSE)*E13</f>
        <v>7.0788107597923554E-4</v>
      </c>
      <c r="N13" s="56">
        <f>VLOOKUP($I13, 'Commissioner Splits'!$A$4:$J$351, 4, FALSE)*E13</f>
        <v>8.77772534214252E-2</v>
      </c>
      <c r="O13" s="56">
        <f>VLOOKUP($I13, 'Commissioner Splits'!$A$4:$J$351, 6, FALSE)*E13</f>
        <v>7.6923076923076927E-2</v>
      </c>
      <c r="P13" s="56">
        <f>VLOOKUP($I13, 'Commissioner Splits'!$A$4:$J$351, 8, FALSE)*E13</f>
        <v>7.9754601226993863E-2</v>
      </c>
      <c r="Q13" s="56">
        <f>VLOOKUP($I13, 'Commissioner Splits'!$A$4:$J$351,9, FALSE)*E13</f>
        <v>2.6427560169891458E-2</v>
      </c>
      <c r="R13" s="49">
        <f t="shared" si="0"/>
        <v>0.49999999999999994</v>
      </c>
    </row>
    <row r="14" spans="1:18" ht="14.25" customHeight="1" x14ac:dyDescent="0.25">
      <c r="A14" s="500" t="s">
        <v>483</v>
      </c>
      <c r="B14" s="501" t="s">
        <v>532</v>
      </c>
      <c r="C14" s="502"/>
      <c r="D14" s="503"/>
      <c r="E14" s="386">
        <v>0.23</v>
      </c>
      <c r="F14" s="50">
        <v>0.23</v>
      </c>
      <c r="G14" s="50">
        <v>0.23</v>
      </c>
      <c r="H14" s="83"/>
      <c r="I14" s="117">
        <v>118</v>
      </c>
      <c r="J14" s="79" t="str">
        <f>CONCATENATE(VLOOKUP($I14, '[2]Commissioner Splits'!$A$4:$C$351, 2, FALSE), " - ", VLOOKUP($I14, '[2]Commissioner Splits'!$A$4:$C$351, 3, FALSE))</f>
        <v>BCU - PET Scan</v>
      </c>
      <c r="K14" s="419">
        <f>VLOOKUP($I14, 'Commissioner Splits'!$A$4:$J$351, 5, FALSE)*E14</f>
        <v>0</v>
      </c>
      <c r="L14" s="56">
        <f>VLOOKUP($I14, 'Commissioner Splits'!$A$4:$J$351, 7, FALSE)*E14</f>
        <v>0</v>
      </c>
      <c r="M14" s="56">
        <f>VLOOKUP($I14, 'Commissioner Splits'!$A$4:$J$351, 10, FALSE)*E14</f>
        <v>0.23</v>
      </c>
      <c r="N14" s="56">
        <f>VLOOKUP($I14, 'Commissioner Splits'!$A$4:$J$351, 4, FALSE)*E14</f>
        <v>0</v>
      </c>
      <c r="O14" s="56">
        <f>VLOOKUP($I14, 'Commissioner Splits'!$A$4:$J$351, 6, FALSE)*E14</f>
        <v>0</v>
      </c>
      <c r="P14" s="56">
        <f>VLOOKUP($I14, 'Commissioner Splits'!$A$4:$J$351, 8, FALSE)*E14</f>
        <v>0</v>
      </c>
      <c r="Q14" s="56">
        <f>VLOOKUP($I14, 'Commissioner Splits'!$A$4:$J$351,9, FALSE)*E14</f>
        <v>0</v>
      </c>
      <c r="R14" s="49">
        <f t="shared" ref="R14" si="1">SUM(K14:Q14)</f>
        <v>0.23</v>
      </c>
    </row>
    <row r="15" spans="1:18" ht="14.25" customHeight="1" x14ac:dyDescent="0.25">
      <c r="A15" s="454" t="s">
        <v>36</v>
      </c>
      <c r="B15" s="455" t="s">
        <v>339</v>
      </c>
      <c r="C15" s="378"/>
      <c r="D15" s="379" t="s">
        <v>43</v>
      </c>
      <c r="E15" s="731">
        <v>0.66700000000000004</v>
      </c>
      <c r="F15" s="56">
        <v>1.6</v>
      </c>
      <c r="G15" s="56">
        <v>2.4</v>
      </c>
      <c r="H15" s="83"/>
      <c r="I15" s="117">
        <v>202</v>
      </c>
      <c r="J15" s="79" t="str">
        <f>CONCATENATE(VLOOKUP($I15, '[2]Commissioner Splits'!$A$4:$C$351, 2, FALSE), " - ", VLOOKUP($I15, '[2]Commissioner Splits'!$A$4:$C$351, 3, FALSE))</f>
        <v>IPM - Eculizumab</v>
      </c>
      <c r="K15" s="419">
        <f>VLOOKUP($I15, 'Commissioner Splits'!$A$4:$J$351, 5, FALSE)*E15</f>
        <v>0.16107373932349703</v>
      </c>
      <c r="L15" s="56">
        <f>VLOOKUP($I15, 'Commissioner Splits'!$A$4:$J$351, 7, FALSE)*E15</f>
        <v>2.5064510517028561E-2</v>
      </c>
      <c r="M15" s="56">
        <f>VLOOKUP($I15, 'Commissioner Splits'!$A$4:$J$351, 10, FALSE)*E15</f>
        <v>0.22632103654242852</v>
      </c>
      <c r="N15" s="56">
        <f>VLOOKUP($I15, 'Commissioner Splits'!$A$4:$J$351, 4, FALSE)*E15</f>
        <v>6.4749985502323776E-2</v>
      </c>
      <c r="O15" s="56">
        <f>VLOOKUP($I15, 'Commissioner Splits'!$A$4:$J$351, 6, FALSE)*E15</f>
        <v>8.2570322014100028E-2</v>
      </c>
      <c r="P15" s="56">
        <f>VLOOKUP($I15, 'Commissioner Splits'!$A$4:$J$351, 8, FALSE)*E15</f>
        <v>8.2155895583593611E-2</v>
      </c>
      <c r="Q15" s="56">
        <f>VLOOKUP($I15, 'Commissioner Splits'!$A$4:$J$351,9, FALSE)*E15</f>
        <v>2.5064510517028561E-2</v>
      </c>
      <c r="R15" s="49">
        <f t="shared" si="0"/>
        <v>0.66700000000000004</v>
      </c>
    </row>
    <row r="16" spans="1:18" ht="14.25" customHeight="1" x14ac:dyDescent="0.25">
      <c r="A16" s="454" t="s">
        <v>418</v>
      </c>
      <c r="B16" s="455" t="s">
        <v>78</v>
      </c>
      <c r="C16" s="378"/>
      <c r="D16" s="379" t="s">
        <v>141</v>
      </c>
      <c r="E16" s="731">
        <v>9.8000000000000004E-2</v>
      </c>
      <c r="F16" s="56">
        <v>0.15</v>
      </c>
      <c r="G16" s="56">
        <v>0.3</v>
      </c>
      <c r="H16" s="83"/>
      <c r="I16" s="117">
        <v>275</v>
      </c>
      <c r="J16" s="79" t="str">
        <f>CONCATENATE(VLOOKUP($I16, '[2]Commissioner Splits'!$A$4:$C$351, 2, FALSE), " - ", VLOOKUP($I16, '[2]Commissioner Splits'!$A$4:$C$351, 3, FALSE))</f>
        <v>16/17 Developments - Ataluren NS Duchene Muscular Dystrophy</v>
      </c>
      <c r="K16" s="419">
        <f>VLOOKUP($I16, 'Commissioner Splits'!$A$4:$J$351, 5, FALSE)*E16</f>
        <v>1.6317000000000002E-2</v>
      </c>
      <c r="L16" s="56">
        <f>VLOOKUP($I16, 'Commissioner Splits'!$A$4:$J$351, 7, FALSE)*E16</f>
        <v>1.8423999999999999E-2</v>
      </c>
      <c r="M16" s="56">
        <f>VLOOKUP($I16, 'Commissioner Splits'!$A$4:$J$351, 10, FALSE)*E16</f>
        <v>2.2363600000000001E-2</v>
      </c>
      <c r="N16" s="56">
        <f>VLOOKUP($I16, 'Commissioner Splits'!$A$4:$J$351, 4, FALSE)*E16</f>
        <v>1.4660800000000002E-2</v>
      </c>
      <c r="O16" s="56">
        <f>VLOOKUP($I16, 'Commissioner Splits'!$A$4:$J$351, 6, FALSE)*E16</f>
        <v>9.4864000000000007E-3</v>
      </c>
      <c r="P16" s="56">
        <f>VLOOKUP($I16, 'Commissioner Splits'!$A$4:$J$351, 8, FALSE)*E16</f>
        <v>1.2387200000000001E-2</v>
      </c>
      <c r="Q16" s="56">
        <f>VLOOKUP($I16, 'Commissioner Splits'!$A$4:$J$351,9, FALSE)*E16</f>
        <v>4.3610000000000003E-3</v>
      </c>
      <c r="R16" s="49">
        <f t="shared" si="0"/>
        <v>9.8000000000000018E-2</v>
      </c>
    </row>
    <row r="17" spans="1:18" ht="14.25" customHeight="1" x14ac:dyDescent="0.25">
      <c r="A17" s="382" t="s">
        <v>54</v>
      </c>
      <c r="B17" s="455" t="s">
        <v>478</v>
      </c>
      <c r="C17" s="459"/>
      <c r="D17" s="460"/>
      <c r="E17" s="731">
        <v>0.2</v>
      </c>
      <c r="F17" s="56">
        <v>0.3</v>
      </c>
      <c r="G17" s="56">
        <v>0.4</v>
      </c>
      <c r="H17" s="83"/>
      <c r="I17" s="117">
        <v>52</v>
      </c>
      <c r="J17" s="79" t="str">
        <f>CONCATENATE(VLOOKUP($I17, '[2]Commissioner Splits'!$A$4:$C$351, 2, FALSE), " - ", VLOOKUP($I17, '[2]Commissioner Splits'!$A$4:$C$351, 3, FALSE))</f>
        <v>Cardiff &amp; Vale - ISAT - Coils</v>
      </c>
      <c r="K17" s="419">
        <f>VLOOKUP($I17, 'Commissioner Splits'!$A$4:$J$351, 5, FALSE)*E17</f>
        <v>5.7176000000000005E-2</v>
      </c>
      <c r="L17" s="56">
        <f>VLOOKUP($I17, 'Commissioner Splits'!$A$4:$J$351, 7, FALSE)*E17</f>
        <v>4.8562000000000001E-2</v>
      </c>
      <c r="M17" s="56">
        <f>VLOOKUP($I17, 'Commissioner Splits'!$A$4:$J$351, 10, FALSE)*E17</f>
        <v>0</v>
      </c>
      <c r="N17" s="56">
        <f>VLOOKUP($I17, 'Commissioner Splits'!$A$4:$J$351, 4, FALSE)*E17</f>
        <v>3.5320000000000004E-2</v>
      </c>
      <c r="O17" s="56">
        <f>VLOOKUP($I17, 'Commissioner Splits'!$A$4:$J$351, 6, FALSE)*E17</f>
        <v>2.5956000000000003E-2</v>
      </c>
      <c r="P17" s="56">
        <f>VLOOKUP($I17, 'Commissioner Splits'!$A$4:$J$351, 8, FALSE)*E17</f>
        <v>3.2528000000000001E-2</v>
      </c>
      <c r="Q17" s="56">
        <f>VLOOKUP($I17, 'Commissioner Splits'!$A$4:$J$351,9, FALSE)*E17</f>
        <v>4.5800000000000002E-4</v>
      </c>
      <c r="R17" s="49">
        <f t="shared" si="0"/>
        <v>0.2</v>
      </c>
    </row>
    <row r="18" spans="1:18" ht="14.25" customHeight="1" x14ac:dyDescent="0.25">
      <c r="A18" s="454" t="s">
        <v>418</v>
      </c>
      <c r="B18" s="455" t="s">
        <v>419</v>
      </c>
      <c r="C18" s="459"/>
      <c r="D18" s="460"/>
      <c r="E18" s="731">
        <v>0.14499999999999999</v>
      </c>
      <c r="F18" s="56">
        <v>0.28999999999999998</v>
      </c>
      <c r="G18" s="56">
        <v>0.4</v>
      </c>
      <c r="H18" s="83"/>
      <c r="I18" s="117">
        <v>275</v>
      </c>
      <c r="J18" s="79" t="str">
        <f>CONCATENATE(VLOOKUP($I18, '[2]Commissioner Splits'!$A$4:$C$351, 2, FALSE), " - ", VLOOKUP($I18, '[2]Commissioner Splits'!$A$4:$C$351, 3, FALSE))</f>
        <v>16/17 Developments - Ataluren NS Duchene Muscular Dystrophy</v>
      </c>
      <c r="K18" s="419">
        <f>VLOOKUP($I18, 'Commissioner Splits'!$A$4:$J$351, 5, FALSE)*E18</f>
        <v>2.4142500000000001E-2</v>
      </c>
      <c r="L18" s="56">
        <f>VLOOKUP($I18, 'Commissioner Splits'!$A$4:$J$351, 7, FALSE)*E18</f>
        <v>2.726E-2</v>
      </c>
      <c r="M18" s="56">
        <f>VLOOKUP($I18, 'Commissioner Splits'!$A$4:$J$351, 10, FALSE)*E18</f>
        <v>3.3088999999999993E-2</v>
      </c>
      <c r="N18" s="56">
        <f>VLOOKUP($I18, 'Commissioner Splits'!$A$4:$J$351, 4, FALSE)*E18</f>
        <v>2.1691999999999999E-2</v>
      </c>
      <c r="O18" s="56">
        <f>VLOOKUP($I18, 'Commissioner Splits'!$A$4:$J$351, 6, FALSE)*E18</f>
        <v>1.4035999999999998E-2</v>
      </c>
      <c r="P18" s="56">
        <f>VLOOKUP($I18, 'Commissioner Splits'!$A$4:$J$351, 8, FALSE)*E18</f>
        <v>1.8328000000000001E-2</v>
      </c>
      <c r="Q18" s="56">
        <f>VLOOKUP($I18, 'Commissioner Splits'!$A$4:$J$351,9, FALSE)*E18</f>
        <v>6.452499999999999E-3</v>
      </c>
      <c r="R18" s="49">
        <f t="shared" si="0"/>
        <v>0.14499999999999999</v>
      </c>
    </row>
    <row r="19" spans="1:18" ht="14.25" customHeight="1" x14ac:dyDescent="0.25">
      <c r="A19" s="454" t="s">
        <v>36</v>
      </c>
      <c r="B19" s="455" t="s">
        <v>140</v>
      </c>
      <c r="C19" s="459"/>
      <c r="D19" s="460"/>
      <c r="E19" s="731">
        <v>1.484</v>
      </c>
      <c r="F19" s="56">
        <v>2.4</v>
      </c>
      <c r="G19" s="56">
        <v>3.2</v>
      </c>
      <c r="H19" s="83"/>
      <c r="I19" s="117">
        <v>205</v>
      </c>
      <c r="J19" s="79" t="str">
        <f>CONCATENATE(VLOOKUP($I19, '[2]Commissioner Splits'!$A$4:$C$351, 2, FALSE), " - ", VLOOKUP($I19, '[2]Commissioner Splits'!$A$4:$C$351, 3, FALSE))</f>
        <v>IPM - ERT</v>
      </c>
      <c r="K19" s="419">
        <f>VLOOKUP($I19, 'Commissioner Splits'!$A$4:$J$351, 5, FALSE)*E19</f>
        <v>0.18866367758195063</v>
      </c>
      <c r="L19" s="56">
        <f>VLOOKUP($I19, 'Commissioner Splits'!$A$4:$J$351, 7, FALSE)*E19</f>
        <v>0.58038390213842261</v>
      </c>
      <c r="M19" s="56">
        <f>VLOOKUP($I19, 'Commissioner Splits'!$A$4:$J$351, 10, FALSE)*E19</f>
        <v>3.027329801174301E-2</v>
      </c>
      <c r="N19" s="56">
        <f>VLOOKUP($I19, 'Commissioner Splits'!$A$4:$J$351, 4, FALSE)*E19</f>
        <v>0.27057971029915789</v>
      </c>
      <c r="O19" s="56">
        <f>VLOOKUP($I19, 'Commissioner Splits'!$A$4:$J$351, 6, FALSE)*E19</f>
        <v>0.24427524165675435</v>
      </c>
      <c r="P19" s="56">
        <f>VLOOKUP($I19, 'Commissioner Splits'!$A$4:$J$351, 8, FALSE)*E19</f>
        <v>0.14884830667460158</v>
      </c>
      <c r="Q19" s="56">
        <f>VLOOKUP($I19, 'Commissioner Splits'!$A$4:$J$351,9, FALSE)*E19</f>
        <v>2.097586363736987E-2</v>
      </c>
      <c r="R19" s="49">
        <f t="shared" si="0"/>
        <v>1.484</v>
      </c>
    </row>
    <row r="20" spans="1:18" ht="14.25" customHeight="1" x14ac:dyDescent="0.25">
      <c r="A20" s="454" t="s">
        <v>414</v>
      </c>
      <c r="B20" s="455" t="s">
        <v>427</v>
      </c>
      <c r="C20" s="463" t="s">
        <v>40</v>
      </c>
      <c r="D20" s="463" t="s">
        <v>150</v>
      </c>
      <c r="E20" s="731">
        <v>0.16300000000000001</v>
      </c>
      <c r="F20" s="56">
        <v>0.46300000000000002</v>
      </c>
      <c r="G20" s="56">
        <v>0.76300000000000001</v>
      </c>
      <c r="H20" s="83"/>
      <c r="I20" s="117">
        <v>271</v>
      </c>
      <c r="J20" s="79" t="str">
        <f>CONCATENATE(VLOOKUP($I20, '[2]Commissioner Splits'!$A$4:$C$351, 2, FALSE), " - ", VLOOKUP($I20, '[2]Commissioner Splits'!$A$4:$C$351, 3, FALSE))</f>
        <v>16/17 Developments - Cystic fibrosis - Ivacaftor NONG551D (AWMSG)</v>
      </c>
      <c r="K20" s="419">
        <f>VLOOKUP($I20, 'Commissioner Splits'!$A$4:$J$351, 5, FALSE)*E20</f>
        <v>2.7139500000000004E-2</v>
      </c>
      <c r="L20" s="56">
        <f>VLOOKUP($I20, 'Commissioner Splits'!$A$4:$J$351, 7, FALSE)*E20</f>
        <v>3.0644000000000001E-2</v>
      </c>
      <c r="M20" s="56">
        <f>VLOOKUP($I20, 'Commissioner Splits'!$A$4:$J$351, 10, FALSE)*E20</f>
        <v>3.7196599999999996E-2</v>
      </c>
      <c r="N20" s="56">
        <f>VLOOKUP($I20, 'Commissioner Splits'!$A$4:$J$351, 4, FALSE)*E20</f>
        <v>2.4384800000000002E-2</v>
      </c>
      <c r="O20" s="56">
        <f>VLOOKUP($I20, 'Commissioner Splits'!$A$4:$J$351, 6, FALSE)*E20</f>
        <v>1.5778400000000001E-2</v>
      </c>
      <c r="P20" s="56">
        <f>VLOOKUP($I20, 'Commissioner Splits'!$A$4:$J$351, 8, FALSE)*E20</f>
        <v>2.0603200000000002E-2</v>
      </c>
      <c r="Q20" s="56">
        <f>VLOOKUP($I20, 'Commissioner Splits'!$A$4:$J$351,9, FALSE)*E20</f>
        <v>7.2534999999999995E-3</v>
      </c>
      <c r="R20" s="49">
        <f t="shared" si="0"/>
        <v>0.16300000000000001</v>
      </c>
    </row>
    <row r="21" spans="1:18" ht="14.25" customHeight="1" x14ac:dyDescent="0.25">
      <c r="A21" s="454" t="s">
        <v>414</v>
      </c>
      <c r="B21" s="455" t="s">
        <v>428</v>
      </c>
      <c r="C21" s="378"/>
      <c r="D21" s="379" t="s">
        <v>43</v>
      </c>
      <c r="E21" s="731">
        <v>0.7</v>
      </c>
      <c r="F21" s="56">
        <v>1</v>
      </c>
      <c r="G21" s="56">
        <v>1.3</v>
      </c>
      <c r="H21" s="83"/>
      <c r="I21" s="117">
        <v>271</v>
      </c>
      <c r="J21" s="79" t="str">
        <f>CONCATENATE(VLOOKUP($I21, '[2]Commissioner Splits'!$A$4:$C$351, 2, FALSE), " - ", VLOOKUP($I21, '[2]Commissioner Splits'!$A$4:$C$351, 3, FALSE))</f>
        <v>16/17 Developments - Cystic fibrosis - Ivacaftor NONG551D (AWMSG)</v>
      </c>
      <c r="K21" s="419">
        <f>VLOOKUP($I21, 'Commissioner Splits'!$A$4:$J$351, 5, FALSE)*E21</f>
        <v>0.11655</v>
      </c>
      <c r="L21" s="56">
        <f>VLOOKUP($I21, 'Commissioner Splits'!$A$4:$J$351, 7, FALSE)*E21</f>
        <v>0.13159999999999999</v>
      </c>
      <c r="M21" s="56">
        <f>VLOOKUP($I21, 'Commissioner Splits'!$A$4:$J$351, 10, FALSE)*E21</f>
        <v>0.15973999999999999</v>
      </c>
      <c r="N21" s="56">
        <f>VLOOKUP($I21, 'Commissioner Splits'!$A$4:$J$351, 4, FALSE)*E21</f>
        <v>0.10472000000000001</v>
      </c>
      <c r="O21" s="56">
        <f>VLOOKUP($I21, 'Commissioner Splits'!$A$4:$J$351, 6, FALSE)*E21</f>
        <v>6.7759999999999987E-2</v>
      </c>
      <c r="P21" s="56">
        <f>VLOOKUP($I21, 'Commissioner Splits'!$A$4:$J$351, 8, FALSE)*E21</f>
        <v>8.8480000000000003E-2</v>
      </c>
      <c r="Q21" s="56">
        <f>VLOOKUP($I21, 'Commissioner Splits'!$A$4:$J$351,9, FALSE)*E21</f>
        <v>3.1149999999999997E-2</v>
      </c>
      <c r="R21" s="49">
        <f t="shared" si="0"/>
        <v>0.70000000000000007</v>
      </c>
    </row>
    <row r="22" spans="1:18" ht="14.25" customHeight="1" thickBot="1" x14ac:dyDescent="0.3">
      <c r="A22" s="454" t="s">
        <v>429</v>
      </c>
      <c r="B22" s="393" t="s">
        <v>130</v>
      </c>
      <c r="C22" s="378"/>
      <c r="D22" s="379" t="s">
        <v>43</v>
      </c>
      <c r="E22" s="732">
        <v>0.125</v>
      </c>
      <c r="F22" s="505">
        <v>0.3</v>
      </c>
      <c r="G22" s="505">
        <v>0.45</v>
      </c>
      <c r="H22" s="83"/>
      <c r="I22" s="117">
        <v>276</v>
      </c>
      <c r="J22" s="79" t="str">
        <f>CONCATENATE(VLOOKUP($I22, '[2]Commissioner Splits'!$A$4:$C$351, 2, FALSE), " - ", VLOOKUP($I22, '[2]Commissioner Splits'!$A$4:$C$351, 3, FALSE))</f>
        <v>16/17 Developments - Asfotase Alfa - HPP ERT</v>
      </c>
      <c r="K22" s="504">
        <f>VLOOKUP($I22, 'Commissioner Splits'!$A$4:$J$351, 5, FALSE)*E22</f>
        <v>2.0812500000000001E-2</v>
      </c>
      <c r="L22" s="505">
        <f>VLOOKUP($I22, 'Commissioner Splits'!$A$4:$J$351, 7, FALSE)*E22</f>
        <v>2.35E-2</v>
      </c>
      <c r="M22" s="505">
        <f>VLOOKUP($I22, 'Commissioner Splits'!$A$4:$J$351, 10, FALSE)*E22</f>
        <v>2.8524999999999998E-2</v>
      </c>
      <c r="N22" s="505">
        <f>VLOOKUP($I22, 'Commissioner Splits'!$A$4:$J$351, 4, FALSE)*E22</f>
        <v>1.8700000000000001E-2</v>
      </c>
      <c r="O22" s="505">
        <f>VLOOKUP($I22, 'Commissioner Splits'!$A$4:$J$351, 6, FALSE)*E22</f>
        <v>1.21E-2</v>
      </c>
      <c r="P22" s="505">
        <f>VLOOKUP($I22, 'Commissioner Splits'!$A$4:$J$351, 8, FALSE)*E22</f>
        <v>1.5800000000000002E-2</v>
      </c>
      <c r="Q22" s="505">
        <f>VLOOKUP($I22, 'Commissioner Splits'!$A$4:$J$351,9, FALSE)*E22</f>
        <v>5.5624999999999997E-3</v>
      </c>
      <c r="R22" s="49">
        <f t="shared" si="0"/>
        <v>0.125</v>
      </c>
    </row>
    <row r="23" spans="1:18" ht="13.5" thickBot="1" x14ac:dyDescent="0.3">
      <c r="A23" s="81"/>
      <c r="B23" s="102" t="s">
        <v>144</v>
      </c>
      <c r="C23" s="86"/>
      <c r="D23" s="87"/>
      <c r="E23" s="60">
        <f>SUM(E12:E22)</f>
        <v>4.6619999999999999</v>
      </c>
      <c r="F23" s="60">
        <f>SUM(F12:F22)</f>
        <v>8.0329999999999995</v>
      </c>
      <c r="G23" s="60">
        <f>SUM(G12:G22)</f>
        <v>11.143000000000001</v>
      </c>
      <c r="H23" s="83"/>
      <c r="I23" s="88"/>
      <c r="J23" s="89"/>
      <c r="K23" s="60">
        <f t="shared" ref="K23:Q23" si="2">SUM(K12:K22)</f>
        <v>0.75470866511964185</v>
      </c>
      <c r="L23" s="60">
        <f t="shared" si="2"/>
        <v>1.0767018340354551</v>
      </c>
      <c r="M23" s="60">
        <f t="shared" si="2"/>
        <v>0.80356864512580195</v>
      </c>
      <c r="N23" s="60">
        <f t="shared" si="2"/>
        <v>0.7659453050188606</v>
      </c>
      <c r="O23" s="60">
        <f t="shared" si="2"/>
        <v>0.60324297110514813</v>
      </c>
      <c r="P23" s="60">
        <f t="shared" si="2"/>
        <v>0.52407457496176479</v>
      </c>
      <c r="Q23" s="60">
        <f t="shared" si="2"/>
        <v>0.13375800463332824</v>
      </c>
      <c r="R23" s="60">
        <f t="shared" si="0"/>
        <v>4.6620000000000017</v>
      </c>
    </row>
    <row r="24" spans="1:18" ht="13.5" thickBot="1" x14ac:dyDescent="0.3">
      <c r="F24" s="6"/>
      <c r="H24" s="83"/>
      <c r="J24" s="8"/>
      <c r="R24" s="4"/>
    </row>
    <row r="25" spans="1:18" x14ac:dyDescent="0.25">
      <c r="A25" s="64"/>
      <c r="B25" s="65"/>
      <c r="C25" s="66"/>
      <c r="D25" s="67"/>
      <c r="E25" s="29"/>
      <c r="F25" s="29"/>
      <c r="G25" s="29"/>
      <c r="H25" s="83"/>
      <c r="I25" s="31"/>
      <c r="J25" s="32"/>
      <c r="K25" s="68" t="s">
        <v>0</v>
      </c>
      <c r="L25" s="69" t="s">
        <v>18</v>
      </c>
      <c r="M25" s="69" t="s">
        <v>19</v>
      </c>
      <c r="N25" s="69" t="s">
        <v>20</v>
      </c>
      <c r="O25" s="69" t="s">
        <v>21</v>
      </c>
      <c r="P25" s="70" t="s">
        <v>22</v>
      </c>
      <c r="Q25" s="69" t="s">
        <v>5</v>
      </c>
      <c r="R25" s="69" t="s">
        <v>6</v>
      </c>
    </row>
    <row r="26" spans="1:18" ht="25.5" x14ac:dyDescent="0.25">
      <c r="A26" s="72" t="s">
        <v>34</v>
      </c>
      <c r="B26" s="73" t="s">
        <v>485</v>
      </c>
      <c r="C26" s="74"/>
      <c r="D26" s="499" t="s">
        <v>35</v>
      </c>
      <c r="E26" s="38" t="s">
        <v>26</v>
      </c>
      <c r="F26" s="38" t="s">
        <v>151</v>
      </c>
      <c r="G26" s="38" t="s">
        <v>476</v>
      </c>
      <c r="H26" s="83"/>
      <c r="I26" s="39" t="s">
        <v>28</v>
      </c>
      <c r="J26" s="40"/>
      <c r="K26" s="33"/>
      <c r="L26" s="34" t="s">
        <v>29</v>
      </c>
      <c r="M26" s="33" t="s">
        <v>30</v>
      </c>
      <c r="N26" s="34" t="s">
        <v>31</v>
      </c>
      <c r="O26" s="35" t="s">
        <v>32</v>
      </c>
      <c r="P26" s="35" t="s">
        <v>33</v>
      </c>
      <c r="Q26" s="34"/>
      <c r="R26" s="34"/>
    </row>
    <row r="27" spans="1:18" ht="13.5" thickBot="1" x14ac:dyDescent="0.3">
      <c r="A27" s="75"/>
      <c r="B27" s="75"/>
      <c r="C27" s="76"/>
      <c r="D27" s="104"/>
      <c r="E27" s="41" t="s">
        <v>9</v>
      </c>
      <c r="F27" s="41" t="s">
        <v>9</v>
      </c>
      <c r="G27" s="41" t="s">
        <v>9</v>
      </c>
      <c r="H27" s="83"/>
      <c r="I27" s="43"/>
      <c r="J27" s="44"/>
      <c r="K27" s="45" t="s">
        <v>7</v>
      </c>
      <c r="L27" s="45" t="s">
        <v>7</v>
      </c>
      <c r="M27" s="45" t="s">
        <v>7</v>
      </c>
      <c r="N27" s="46" t="s">
        <v>7</v>
      </c>
      <c r="O27" s="47" t="s">
        <v>7</v>
      </c>
      <c r="P27" s="45" t="s">
        <v>7</v>
      </c>
      <c r="Q27" s="46" t="s">
        <v>8</v>
      </c>
      <c r="R27" s="46"/>
    </row>
    <row r="28" spans="1:18" ht="15" x14ac:dyDescent="0.25">
      <c r="A28" s="370" t="s">
        <v>17</v>
      </c>
      <c r="B28" s="371" t="s">
        <v>486</v>
      </c>
      <c r="C28" s="372"/>
      <c r="D28" s="373" t="s">
        <v>40</v>
      </c>
      <c r="E28" s="573">
        <v>0.85</v>
      </c>
      <c r="F28" s="186">
        <f>1.7</f>
        <v>1.7</v>
      </c>
      <c r="G28" s="186">
        <v>2.6</v>
      </c>
      <c r="H28" s="83"/>
      <c r="I28" s="392">
        <v>227</v>
      </c>
      <c r="J28" s="79" t="s">
        <v>518</v>
      </c>
      <c r="K28" s="186">
        <f>VLOOKUP($I28, '[2]Commissioner Splits'!$A$4:$J$351, 5, FALSE)*E28</f>
        <v>0.14152500000000001</v>
      </c>
      <c r="L28" s="186">
        <f>VLOOKUP($I28, '[2]Commissioner Splits'!$A$4:$J$351, 7, FALSE)*E28</f>
        <v>0.1598</v>
      </c>
      <c r="M28" s="186">
        <f>VLOOKUP($I28, '[2]Commissioner Splits'!$A$4:$J$351, 10, FALSE)*E28</f>
        <v>0.19396999999999998</v>
      </c>
      <c r="N28" s="186">
        <f>VLOOKUP($I28, '[2]Commissioner Splits'!$A$4:$J$351, 4, FALSE)*E28</f>
        <v>0.12716</v>
      </c>
      <c r="O28" s="186">
        <f>VLOOKUP($I28, '[2]Commissioner Splits'!$A$4:$J$351, 6, FALSE)*E28</f>
        <v>8.2279999999999992E-2</v>
      </c>
      <c r="P28" s="186">
        <f>VLOOKUP($I28, '[2]Commissioner Splits'!$A$4:$J$351, 8, FALSE)*E28</f>
        <v>0.10744000000000001</v>
      </c>
      <c r="Q28" s="186">
        <f>VLOOKUP($I28, '[2]Commissioner Splits'!$A$4:$J$351,9, FALSE)*E28</f>
        <v>3.7824999999999998E-2</v>
      </c>
      <c r="R28" s="49">
        <f t="shared" ref="R28:R32" si="3">SUM(K28:Q28)</f>
        <v>0.85</v>
      </c>
    </row>
    <row r="29" spans="1:18" ht="15" x14ac:dyDescent="0.25">
      <c r="A29" s="500" t="s">
        <v>17</v>
      </c>
      <c r="B29" s="501" t="s">
        <v>488</v>
      </c>
      <c r="C29" s="502"/>
      <c r="D29" s="503"/>
      <c r="E29" s="574">
        <v>0.78</v>
      </c>
      <c r="F29" s="56">
        <v>1.6</v>
      </c>
      <c r="G29" s="56">
        <v>2.5</v>
      </c>
      <c r="H29" s="83"/>
      <c r="I29" s="117">
        <v>227</v>
      </c>
      <c r="J29" s="79" t="s">
        <v>518</v>
      </c>
      <c r="K29" s="419">
        <f>VLOOKUP($I29, 'Commissioner Splits'!$A$4:$J$351, 5, FALSE)*E29</f>
        <v>0.12987000000000001</v>
      </c>
      <c r="L29" s="56">
        <f>VLOOKUP($I29, 'Commissioner Splits'!$A$4:$J$351, 7, FALSE)*E29</f>
        <v>0.14663999999999999</v>
      </c>
      <c r="M29" s="56">
        <f>VLOOKUP($I29, 'Commissioner Splits'!$A$4:$J$351, 10, FALSE)*E29</f>
        <v>0.17799599999999999</v>
      </c>
      <c r="N29" s="56">
        <f>VLOOKUP($I29, 'Commissioner Splits'!$A$4:$J$351, 4, FALSE)*E29</f>
        <v>0.11668800000000001</v>
      </c>
      <c r="O29" s="56">
        <f>VLOOKUP($I29, 'Commissioner Splits'!$A$4:$J$351, 6, FALSE)*E29</f>
        <v>7.5504000000000002E-2</v>
      </c>
      <c r="P29" s="56">
        <f>VLOOKUP($I29, 'Commissioner Splits'!$A$4:$J$351, 8, FALSE)*E29</f>
        <v>9.8592000000000013E-2</v>
      </c>
      <c r="Q29" s="56">
        <f>VLOOKUP($I29, 'Commissioner Splits'!$A$4:$J$351,9, FALSE)*E29</f>
        <v>3.4709999999999998E-2</v>
      </c>
      <c r="R29" s="49">
        <f t="shared" si="3"/>
        <v>0.78</v>
      </c>
    </row>
    <row r="30" spans="1:18" ht="15" x14ac:dyDescent="0.25">
      <c r="A30" s="454"/>
      <c r="B30" s="455"/>
      <c r="C30" s="378"/>
      <c r="D30" s="379"/>
      <c r="E30" s="575"/>
      <c r="F30" s="56"/>
      <c r="G30" s="56"/>
      <c r="H30" s="83"/>
      <c r="I30" s="117"/>
      <c r="J30" s="79"/>
      <c r="K30" s="419"/>
      <c r="L30" s="56"/>
      <c r="M30" s="56"/>
      <c r="N30" s="56"/>
      <c r="O30" s="56"/>
      <c r="P30" s="56"/>
      <c r="Q30" s="56"/>
      <c r="R30" s="49"/>
    </row>
    <row r="31" spans="1:18" ht="15.75" thickBot="1" x14ac:dyDescent="0.3">
      <c r="A31" s="454"/>
      <c r="B31" s="393"/>
      <c r="C31" s="378"/>
      <c r="D31" s="379"/>
      <c r="E31" s="576"/>
      <c r="F31" s="505"/>
      <c r="G31" s="505"/>
      <c r="H31" s="83"/>
      <c r="I31" s="117"/>
      <c r="J31" s="79"/>
      <c r="K31" s="504"/>
      <c r="L31" s="505"/>
      <c r="M31" s="505"/>
      <c r="N31" s="505"/>
      <c r="O31" s="505"/>
      <c r="P31" s="505"/>
      <c r="Q31" s="505"/>
      <c r="R31" s="49"/>
    </row>
    <row r="32" spans="1:18" ht="13.5" thickBot="1" x14ac:dyDescent="0.3">
      <c r="A32" s="81"/>
      <c r="B32" s="102" t="s">
        <v>487</v>
      </c>
      <c r="C32" s="86"/>
      <c r="D32" s="87"/>
      <c r="E32" s="60">
        <f>SUM(E28:E31)</f>
        <v>1.63</v>
      </c>
      <c r="F32" s="60">
        <f>SUM(F28:F31)</f>
        <v>3.3</v>
      </c>
      <c r="G32" s="60">
        <f>SUM(G28:G31)</f>
        <v>5.0999999999999996</v>
      </c>
      <c r="H32" s="83"/>
      <c r="I32" s="88"/>
      <c r="J32" s="89"/>
      <c r="K32" s="60">
        <f t="shared" ref="K32:Q32" si="4">SUM(K28:K31)</f>
        <v>0.27139500000000005</v>
      </c>
      <c r="L32" s="60">
        <f t="shared" si="4"/>
        <v>0.30643999999999999</v>
      </c>
      <c r="M32" s="60">
        <f t="shared" si="4"/>
        <v>0.37196599999999996</v>
      </c>
      <c r="N32" s="60">
        <f t="shared" si="4"/>
        <v>0.24384800000000001</v>
      </c>
      <c r="O32" s="60">
        <f t="shared" si="4"/>
        <v>0.15778399999999998</v>
      </c>
      <c r="P32" s="60">
        <f t="shared" si="4"/>
        <v>0.20603200000000002</v>
      </c>
      <c r="Q32" s="60">
        <f t="shared" si="4"/>
        <v>7.2534999999999988E-2</v>
      </c>
      <c r="R32" s="60">
        <f t="shared" si="3"/>
        <v>1.6300000000000001</v>
      </c>
    </row>
    <row r="33" spans="1:18" x14ac:dyDescent="0.25">
      <c r="A33" s="58"/>
      <c r="B33" s="28"/>
      <c r="C33" s="28"/>
      <c r="D33" s="90"/>
      <c r="E33" s="91">
        <v>1.208</v>
      </c>
      <c r="F33" s="91"/>
      <c r="G33" s="91"/>
      <c r="H33" s="83"/>
      <c r="I33" s="96"/>
      <c r="J33" s="97"/>
      <c r="K33" s="91"/>
      <c r="L33" s="91"/>
      <c r="M33" s="91"/>
      <c r="N33" s="91"/>
      <c r="O33" s="91"/>
      <c r="P33" s="91"/>
      <c r="Q33" s="91"/>
      <c r="R33" s="91"/>
    </row>
    <row r="35" spans="1:18" hidden="1" x14ac:dyDescent="0.25">
      <c r="A35" s="64"/>
      <c r="B35" s="65"/>
      <c r="C35" s="66"/>
      <c r="D35" s="67"/>
      <c r="E35" s="29"/>
      <c r="F35" s="29"/>
      <c r="G35" s="29"/>
      <c r="H35" s="83"/>
      <c r="I35" s="31"/>
      <c r="J35" s="32"/>
      <c r="K35" s="68" t="s">
        <v>0</v>
      </c>
      <c r="L35" s="69" t="s">
        <v>18</v>
      </c>
      <c r="M35" s="69" t="s">
        <v>19</v>
      </c>
      <c r="N35" s="69" t="s">
        <v>20</v>
      </c>
      <c r="O35" s="69" t="s">
        <v>21</v>
      </c>
      <c r="P35" s="70" t="s">
        <v>22</v>
      </c>
      <c r="Q35" s="69" t="s">
        <v>5</v>
      </c>
      <c r="R35" s="69" t="s">
        <v>6</v>
      </c>
    </row>
    <row r="36" spans="1:18" ht="25.5" hidden="1" x14ac:dyDescent="0.25">
      <c r="A36" s="72" t="s">
        <v>34</v>
      </c>
      <c r="B36" s="73" t="s">
        <v>519</v>
      </c>
      <c r="C36" s="74"/>
      <c r="D36" s="499" t="s">
        <v>35</v>
      </c>
      <c r="E36" s="38" t="s">
        <v>26</v>
      </c>
      <c r="F36" s="38" t="s">
        <v>151</v>
      </c>
      <c r="G36" s="38" t="s">
        <v>476</v>
      </c>
      <c r="H36" s="83"/>
      <c r="I36" s="39" t="s">
        <v>28</v>
      </c>
      <c r="J36" s="40"/>
      <c r="K36" s="33"/>
      <c r="L36" s="34" t="s">
        <v>29</v>
      </c>
      <c r="M36" s="33" t="s">
        <v>30</v>
      </c>
      <c r="N36" s="34" t="s">
        <v>31</v>
      </c>
      <c r="O36" s="35" t="s">
        <v>32</v>
      </c>
      <c r="P36" s="35" t="s">
        <v>33</v>
      </c>
      <c r="Q36" s="34"/>
      <c r="R36" s="34"/>
    </row>
    <row r="37" spans="1:18" ht="13.5" hidden="1" thickBot="1" x14ac:dyDescent="0.3">
      <c r="A37" s="75"/>
      <c r="B37" s="75"/>
      <c r="C37" s="76"/>
      <c r="D37" s="104"/>
      <c r="E37" s="41" t="s">
        <v>9</v>
      </c>
      <c r="F37" s="41" t="s">
        <v>9</v>
      </c>
      <c r="G37" s="41" t="s">
        <v>9</v>
      </c>
      <c r="H37" s="83"/>
      <c r="I37" s="43"/>
      <c r="J37" s="44"/>
      <c r="K37" s="45" t="s">
        <v>7</v>
      </c>
      <c r="L37" s="45" t="s">
        <v>7</v>
      </c>
      <c r="M37" s="45" t="s">
        <v>7</v>
      </c>
      <c r="N37" s="46" t="s">
        <v>7</v>
      </c>
      <c r="O37" s="47" t="s">
        <v>7</v>
      </c>
      <c r="P37" s="45" t="s">
        <v>7</v>
      </c>
      <c r="Q37" s="46" t="s">
        <v>8</v>
      </c>
      <c r="R37" s="46"/>
    </row>
    <row r="38" spans="1:18" ht="25.5" hidden="1" x14ac:dyDescent="0.25">
      <c r="A38" s="525" t="s">
        <v>41</v>
      </c>
      <c r="B38" s="526" t="s">
        <v>521</v>
      </c>
      <c r="C38" s="527"/>
      <c r="D38" s="568" t="s">
        <v>40</v>
      </c>
      <c r="E38" s="530">
        <v>1.5</v>
      </c>
      <c r="F38" s="530">
        <v>3</v>
      </c>
      <c r="G38" s="530">
        <v>4.5</v>
      </c>
      <c r="H38" s="83"/>
      <c r="I38" s="528"/>
      <c r="J38" s="529" t="s">
        <v>517</v>
      </c>
      <c r="K38" s="530">
        <f>$E$38*K43</f>
        <v>0.1102417926407642</v>
      </c>
      <c r="L38" s="530">
        <f t="shared" ref="L38:Q38" si="5">$E$38*L43</f>
        <v>0.10924604743710434</v>
      </c>
      <c r="M38" s="530">
        <f t="shared" si="5"/>
        <v>0.93298281721182785</v>
      </c>
      <c r="N38" s="530">
        <f t="shared" si="5"/>
        <v>6.0478175520335978E-2</v>
      </c>
      <c r="O38" s="530">
        <f t="shared" si="5"/>
        <v>9.8072527872727661E-2</v>
      </c>
      <c r="P38" s="530">
        <f t="shared" si="5"/>
        <v>6.9920751922067245E-2</v>
      </c>
      <c r="Q38" s="530">
        <f t="shared" si="5"/>
        <v>0.11905788739517283</v>
      </c>
      <c r="R38" s="531">
        <f t="shared" ref="R38" si="6">SUM(K38:Q38)</f>
        <v>1.5000000000000002</v>
      </c>
    </row>
    <row r="39" spans="1:18" ht="15" hidden="1" x14ac:dyDescent="0.25">
      <c r="A39" s="532"/>
      <c r="B39" s="533"/>
      <c r="C39" s="534"/>
      <c r="D39" s="569"/>
      <c r="E39" s="571"/>
      <c r="F39" s="571"/>
      <c r="G39" s="571"/>
      <c r="H39" s="83"/>
      <c r="I39" s="535"/>
      <c r="J39" s="529"/>
      <c r="K39" s="536"/>
      <c r="L39" s="537"/>
      <c r="M39" s="537"/>
      <c r="N39" s="537"/>
      <c r="O39" s="537"/>
      <c r="P39" s="537"/>
      <c r="Q39" s="537"/>
      <c r="R39" s="531"/>
    </row>
    <row r="40" spans="1:18" ht="15.75" hidden="1" thickBot="1" x14ac:dyDescent="0.3">
      <c r="A40" s="532"/>
      <c r="B40" s="538"/>
      <c r="C40" s="534"/>
      <c r="D40" s="569"/>
      <c r="E40" s="572"/>
      <c r="F40" s="572"/>
      <c r="G40" s="572"/>
      <c r="H40" s="83"/>
      <c r="I40" s="535"/>
      <c r="J40" s="529"/>
      <c r="K40" s="539"/>
      <c r="L40" s="540"/>
      <c r="M40" s="540"/>
      <c r="N40" s="540"/>
      <c r="O40" s="540"/>
      <c r="P40" s="540"/>
      <c r="Q40" s="540"/>
      <c r="R40" s="531"/>
    </row>
    <row r="41" spans="1:18" ht="13.5" hidden="1" thickBot="1" x14ac:dyDescent="0.3">
      <c r="A41" s="541"/>
      <c r="B41" s="542" t="s">
        <v>529</v>
      </c>
      <c r="C41" s="543"/>
      <c r="D41" s="570"/>
      <c r="E41" s="544">
        <f>SUM(E38:E40)</f>
        <v>1.5</v>
      </c>
      <c r="F41" s="544">
        <f>SUM(F38:F40)</f>
        <v>3</v>
      </c>
      <c r="G41" s="544">
        <f>SUM(G38:G40)</f>
        <v>4.5</v>
      </c>
      <c r="H41" s="83"/>
      <c r="I41" s="545"/>
      <c r="J41" s="546"/>
      <c r="K41" s="544">
        <f t="shared" ref="K41:Q41" si="7">SUM(K38:K40)</f>
        <v>0.1102417926407642</v>
      </c>
      <c r="L41" s="544">
        <f t="shared" si="7"/>
        <v>0.10924604743710434</v>
      </c>
      <c r="M41" s="544">
        <f t="shared" si="7"/>
        <v>0.93298281721182785</v>
      </c>
      <c r="N41" s="544">
        <f t="shared" si="7"/>
        <v>6.0478175520335978E-2</v>
      </c>
      <c r="O41" s="544">
        <f t="shared" si="7"/>
        <v>9.8072527872727661E-2</v>
      </c>
      <c r="P41" s="544">
        <f t="shared" si="7"/>
        <v>6.9920751922067245E-2</v>
      </c>
      <c r="Q41" s="544">
        <f t="shared" si="7"/>
        <v>0.11905788739517283</v>
      </c>
      <c r="R41" s="544">
        <f t="shared" ref="R41" si="8">SUM(K41:Q41)</f>
        <v>1.5000000000000002</v>
      </c>
    </row>
    <row r="42" spans="1:18" x14ac:dyDescent="0.25">
      <c r="H42" s="83"/>
    </row>
    <row r="43" spans="1:18" x14ac:dyDescent="0.25">
      <c r="H43" s="83"/>
      <c r="K43" s="174">
        <v>7.3494528427176131E-2</v>
      </c>
      <c r="L43" s="174">
        <v>7.2830698291402887E-2</v>
      </c>
      <c r="M43" s="174">
        <v>0.62198854480788524</v>
      </c>
      <c r="N43" s="174">
        <v>4.0318783680223985E-2</v>
      </c>
      <c r="O43" s="174">
        <v>6.5381685248485102E-2</v>
      </c>
      <c r="P43" s="174">
        <v>4.6613834614711497E-2</v>
      </c>
      <c r="Q43" s="174">
        <v>7.9371924930115217E-2</v>
      </c>
    </row>
  </sheetData>
  <pageMargins left="0.23622047244094491" right="0.23622047244094491" top="0.59055118110236227" bottom="0.59055118110236227" header="0.19685039370078741" footer="0.19685039370078741"/>
  <pageSetup paperSize="8" scale="68" fitToHeight="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2:R31"/>
  <sheetViews>
    <sheetView topLeftCell="A4" zoomScale="80" zoomScaleNormal="80" zoomScaleSheetLayoutView="76" workbookViewId="0">
      <selection activeCell="A25" sqref="A18:A25"/>
    </sheetView>
  </sheetViews>
  <sheetFormatPr defaultColWidth="19.140625" defaultRowHeight="12.75" outlineLevelCol="1" x14ac:dyDescent="0.25"/>
  <cols>
    <col min="1" max="1" width="15.42578125" style="2" customWidth="1"/>
    <col min="2" max="2" width="49.5703125" style="3" customWidth="1"/>
    <col min="3" max="3" width="14.28515625" style="4" hidden="1" customWidth="1"/>
    <col min="4" max="4" width="14.28515625" style="5" hidden="1" customWidth="1"/>
    <col min="5" max="5" width="11.5703125" style="6" customWidth="1"/>
    <col min="6" max="7" width="11.5703125" style="4" customWidth="1"/>
    <col min="8" max="8" width="11.5703125" style="7" customWidth="1"/>
    <col min="9" max="9" width="11.5703125" style="8" hidden="1" customWidth="1" outlineLevel="1"/>
    <col min="10" max="10" width="43.28515625" style="9" hidden="1" customWidth="1" outlineLevel="1"/>
    <col min="11" max="17" width="11.5703125" style="4" customWidth="1" outlineLevel="1"/>
    <col min="18" max="18" width="11.5703125" style="6" customWidth="1" outlineLevel="1"/>
    <col min="19" max="22" width="10" style="4" customWidth="1"/>
    <col min="23" max="23" width="13.42578125" style="4" customWidth="1"/>
    <col min="24" max="24" width="10" style="4" customWidth="1"/>
    <col min="25" max="16384" width="19.140625" style="4"/>
  </cols>
  <sheetData>
    <row r="2" spans="1:18" ht="26.25" x14ac:dyDescent="0.25">
      <c r="A2" s="10" t="str">
        <f>'Table 3 - Rollover Baseline'!A2</f>
        <v>2018-21 Financial Plan</v>
      </c>
      <c r="B2" s="10"/>
      <c r="C2" s="11"/>
      <c r="D2" s="12"/>
      <c r="G2" s="13"/>
    </row>
    <row r="3" spans="1:18" ht="26.25" x14ac:dyDescent="0.4">
      <c r="A3" s="14" t="s">
        <v>14</v>
      </c>
      <c r="B3" s="14"/>
      <c r="D3" s="12"/>
      <c r="G3" s="15" t="s">
        <v>162</v>
      </c>
      <c r="I3" s="18"/>
      <c r="J3" s="19"/>
      <c r="K3" s="16" t="s">
        <v>15</v>
      </c>
      <c r="L3" s="17"/>
      <c r="M3" s="17"/>
      <c r="N3" s="17"/>
      <c r="O3" s="17"/>
      <c r="P3" s="17"/>
      <c r="Q3" s="17"/>
      <c r="R3" s="20"/>
    </row>
    <row r="4" spans="1:18" ht="18" customHeight="1" x14ac:dyDescent="0.2">
      <c r="A4" s="21"/>
      <c r="B4" s="21"/>
      <c r="D4" s="22"/>
      <c r="K4" s="23"/>
      <c r="L4" s="23"/>
      <c r="M4" s="23"/>
      <c r="N4" s="23"/>
      <c r="O4" s="23"/>
      <c r="P4" s="23"/>
      <c r="Q4" s="23"/>
      <c r="R4" s="24"/>
    </row>
    <row r="5" spans="1:18" ht="18" customHeight="1" thickBot="1" x14ac:dyDescent="0.3">
      <c r="A5" s="25" t="s">
        <v>469</v>
      </c>
      <c r="B5" s="25"/>
      <c r="D5" s="12"/>
      <c r="K5" s="26"/>
      <c r="L5" s="26"/>
      <c r="M5" s="26"/>
      <c r="N5" s="26"/>
      <c r="O5" s="26"/>
      <c r="P5" s="26"/>
      <c r="Q5" s="26"/>
      <c r="R5" s="27"/>
    </row>
    <row r="6" spans="1:18" ht="18.75" customHeight="1" x14ac:dyDescent="0.25">
      <c r="B6" s="61"/>
      <c r="D6" s="62"/>
    </row>
    <row r="7" spans="1:18" x14ac:dyDescent="0.25">
      <c r="F7" s="6"/>
      <c r="H7" s="83"/>
      <c r="J7" s="8"/>
      <c r="R7" s="4"/>
    </row>
    <row r="8" spans="1:18" ht="16.5" thickBot="1" x14ac:dyDescent="0.3">
      <c r="B8" s="63" t="s">
        <v>455</v>
      </c>
      <c r="C8" s="28"/>
      <c r="D8" s="62"/>
      <c r="F8" s="6"/>
      <c r="H8" s="83"/>
      <c r="J8" s="8"/>
      <c r="R8" s="4"/>
    </row>
    <row r="9" spans="1:18" ht="20.25" customHeight="1" x14ac:dyDescent="0.25">
      <c r="A9" s="64"/>
      <c r="B9" s="65"/>
      <c r="C9" s="66"/>
      <c r="D9" s="67"/>
      <c r="E9" s="29"/>
      <c r="F9" s="30"/>
      <c r="G9" s="30"/>
      <c r="H9" s="83"/>
      <c r="I9" s="31"/>
      <c r="J9" s="31"/>
      <c r="K9" s="68" t="s">
        <v>0</v>
      </c>
      <c r="L9" s="69" t="s">
        <v>18</v>
      </c>
      <c r="M9" s="69" t="s">
        <v>19</v>
      </c>
      <c r="N9" s="69" t="s">
        <v>20</v>
      </c>
      <c r="O9" s="69" t="s">
        <v>21</v>
      </c>
      <c r="P9" s="70" t="s">
        <v>22</v>
      </c>
      <c r="Q9" s="69" t="s">
        <v>5</v>
      </c>
      <c r="R9" s="69" t="s">
        <v>6</v>
      </c>
    </row>
    <row r="10" spans="1:18" ht="20.25" customHeight="1" x14ac:dyDescent="0.25">
      <c r="A10" s="72" t="s">
        <v>34</v>
      </c>
      <c r="B10" s="73" t="s">
        <v>454</v>
      </c>
      <c r="C10" s="74"/>
      <c r="D10" s="176" t="s">
        <v>35</v>
      </c>
      <c r="E10" s="38" t="s">
        <v>26</v>
      </c>
      <c r="F10" s="38" t="s">
        <v>151</v>
      </c>
      <c r="G10" s="38" t="s">
        <v>476</v>
      </c>
      <c r="H10" s="83"/>
      <c r="I10" s="39" t="s">
        <v>28</v>
      </c>
      <c r="J10" s="39"/>
      <c r="K10" s="33"/>
      <c r="L10" s="34" t="s">
        <v>29</v>
      </c>
      <c r="M10" s="33" t="s">
        <v>30</v>
      </c>
      <c r="N10" s="34" t="s">
        <v>31</v>
      </c>
      <c r="O10" s="35" t="s">
        <v>32</v>
      </c>
      <c r="P10" s="35" t="s">
        <v>33</v>
      </c>
      <c r="Q10" s="34"/>
      <c r="R10" s="34"/>
    </row>
    <row r="11" spans="1:18" ht="13.5" thickBot="1" x14ac:dyDescent="0.3">
      <c r="A11" s="75"/>
      <c r="B11" s="363" t="s">
        <v>450</v>
      </c>
      <c r="C11" s="76"/>
      <c r="D11" s="77"/>
      <c r="E11" s="41" t="s">
        <v>9</v>
      </c>
      <c r="F11" s="42" t="s">
        <v>9</v>
      </c>
      <c r="G11" s="42" t="s">
        <v>9</v>
      </c>
      <c r="H11" s="83"/>
      <c r="I11" s="43"/>
      <c r="J11" s="43"/>
      <c r="K11" s="45" t="s">
        <v>7</v>
      </c>
      <c r="L11" s="45" t="s">
        <v>7</v>
      </c>
      <c r="M11" s="45" t="s">
        <v>7</v>
      </c>
      <c r="N11" s="46" t="s">
        <v>7</v>
      </c>
      <c r="O11" s="47" t="s">
        <v>7</v>
      </c>
      <c r="P11" s="45" t="s">
        <v>7</v>
      </c>
      <c r="Q11" s="46" t="s">
        <v>8</v>
      </c>
      <c r="R11" s="46"/>
    </row>
    <row r="12" spans="1:18" ht="16.5" customHeight="1" x14ac:dyDescent="0.2">
      <c r="A12" s="80" t="s">
        <v>150</v>
      </c>
      <c r="B12" s="101" t="s">
        <v>530</v>
      </c>
      <c r="C12" s="111"/>
      <c r="D12" s="113"/>
      <c r="E12" s="50">
        <v>0.45</v>
      </c>
      <c r="F12" s="50">
        <v>0.75</v>
      </c>
      <c r="G12" s="50">
        <v>1</v>
      </c>
      <c r="H12" s="83"/>
      <c r="I12" s="424">
        <v>274</v>
      </c>
      <c r="J12" s="92" t="str">
        <f>CONCATENATE(VLOOKUP($I12, '[2]Commissioner Splits'!$A$4:$C$351, 2, FALSE), " - ", VLOOKUP($I12, '[2]Commissioner Splits'!$A$4:$C$351, 3, FALSE))</f>
        <v>16/17 Developments - Elosulfase Alfa - VIMZIM ERT (Ministerial ratification)</v>
      </c>
      <c r="K12" s="56">
        <f>VLOOKUP($I12, '[2]Commissioner Splits'!$A$4:$J$351, 5, FALSE)*E12</f>
        <v>7.4925000000000005E-2</v>
      </c>
      <c r="L12" s="56">
        <f>VLOOKUP($I12, '[2]Commissioner Splits'!$A$4:$J$351, 7, FALSE)*E12</f>
        <v>8.4600000000000009E-2</v>
      </c>
      <c r="M12" s="56">
        <f>VLOOKUP($I12, '[2]Commissioner Splits'!$A$4:$J$351, 10, FALSE)*E12</f>
        <v>0.10268999999999999</v>
      </c>
      <c r="N12" s="56">
        <f>VLOOKUP($I12, '[2]Commissioner Splits'!$A$4:$J$351, 4, FALSE)*E12</f>
        <v>6.7320000000000005E-2</v>
      </c>
      <c r="O12" s="56">
        <f>VLOOKUP($I12, '[2]Commissioner Splits'!$A$4:$J$351, 6, FALSE)*E12</f>
        <v>4.3560000000000001E-2</v>
      </c>
      <c r="P12" s="56">
        <f>VLOOKUP($I12, '[2]Commissioner Splits'!$A$4:$J$351, 8, FALSE)*E12</f>
        <v>5.6880000000000007E-2</v>
      </c>
      <c r="Q12" s="56">
        <f>VLOOKUP($I12, '[2]Commissioner Splits'!$A$4:$J$351,9, FALSE)*E12</f>
        <v>2.0025000000000001E-2</v>
      </c>
      <c r="R12" s="85">
        <f t="shared" ref="R12:R13" si="0">SUM(K12:Q12)</f>
        <v>0.45</v>
      </c>
    </row>
    <row r="13" spans="1:18" ht="16.5" customHeight="1" x14ac:dyDescent="0.2">
      <c r="A13" s="80" t="s">
        <v>150</v>
      </c>
      <c r="B13" s="101" t="s">
        <v>452</v>
      </c>
      <c r="C13" s="111"/>
      <c r="D13" s="113"/>
      <c r="E13" s="50">
        <v>0.15</v>
      </c>
      <c r="F13" s="50">
        <v>0.75</v>
      </c>
      <c r="G13" s="50">
        <v>1.5</v>
      </c>
      <c r="H13" s="83"/>
      <c r="I13" s="39">
        <v>274</v>
      </c>
      <c r="J13" s="79" t="str">
        <f>CONCATENATE(VLOOKUP($I13, '[2]Commissioner Splits'!$A$4:$C$351, 2, FALSE), " - ", VLOOKUP($I13, '[2]Commissioner Splits'!$A$4:$C$351, 3, FALSE))</f>
        <v>16/17 Developments - Elosulfase Alfa - VIMZIM ERT (Ministerial ratification)</v>
      </c>
      <c r="K13" s="56">
        <f>VLOOKUP($I13, '[2]Commissioner Splits'!$A$4:$J$351, 5, FALSE)*E13</f>
        <v>2.4975000000000001E-2</v>
      </c>
      <c r="L13" s="56">
        <f>VLOOKUP($I13, '[2]Commissioner Splits'!$A$4:$J$351, 7, FALSE)*E13</f>
        <v>2.8199999999999999E-2</v>
      </c>
      <c r="M13" s="56">
        <f>VLOOKUP($I13, '[2]Commissioner Splits'!$A$4:$J$351, 10, FALSE)*E13</f>
        <v>3.4229999999999997E-2</v>
      </c>
      <c r="N13" s="56">
        <f>VLOOKUP($I13, '[2]Commissioner Splits'!$A$4:$J$351, 4, FALSE)*E13</f>
        <v>2.2440000000000002E-2</v>
      </c>
      <c r="O13" s="56">
        <f>VLOOKUP($I13, '[2]Commissioner Splits'!$A$4:$J$351, 6, FALSE)*E13</f>
        <v>1.4519999999999998E-2</v>
      </c>
      <c r="P13" s="56">
        <f>VLOOKUP($I13, '[2]Commissioner Splits'!$A$4:$J$351, 8, FALSE)*E13</f>
        <v>1.8960000000000001E-2</v>
      </c>
      <c r="Q13" s="56">
        <f>VLOOKUP($I13, '[2]Commissioner Splits'!$A$4:$J$351,9, FALSE)*E13</f>
        <v>6.6749999999999995E-3</v>
      </c>
      <c r="R13" s="85">
        <f t="shared" si="0"/>
        <v>0.15</v>
      </c>
    </row>
    <row r="14" spans="1:18" ht="16.5" customHeight="1" thickBot="1" x14ac:dyDescent="0.25">
      <c r="A14" s="170" t="s">
        <v>163</v>
      </c>
      <c r="B14" s="171"/>
      <c r="C14" s="172"/>
      <c r="D14" s="173"/>
      <c r="E14" s="93"/>
      <c r="F14" s="93"/>
      <c r="G14" s="93"/>
      <c r="H14" s="83"/>
      <c r="I14" s="94"/>
      <c r="J14" s="124"/>
      <c r="K14" s="93"/>
      <c r="L14" s="93"/>
      <c r="M14" s="93"/>
      <c r="N14" s="93"/>
      <c r="O14" s="93"/>
      <c r="P14" s="93"/>
      <c r="Q14" s="93"/>
      <c r="R14" s="95"/>
    </row>
    <row r="15" spans="1:18" ht="18" customHeight="1" thickBot="1" x14ac:dyDescent="0.3">
      <c r="A15" s="114"/>
      <c r="B15" s="59" t="s">
        <v>615</v>
      </c>
      <c r="C15" s="115"/>
      <c r="D15" s="115"/>
      <c r="E15" s="60">
        <f>SUM(E12:E14)</f>
        <v>0.6</v>
      </c>
      <c r="F15" s="60">
        <f>SUM(F12:F14)</f>
        <v>1.5</v>
      </c>
      <c r="G15" s="60">
        <f>SUM(G12:G14)</f>
        <v>2.5</v>
      </c>
      <c r="H15" s="83"/>
      <c r="I15" s="116"/>
      <c r="J15" s="116"/>
      <c r="K15" s="60">
        <f t="shared" ref="K15:R15" si="1">SUM(K12:K13)</f>
        <v>9.9900000000000003E-2</v>
      </c>
      <c r="L15" s="60">
        <f t="shared" si="1"/>
        <v>0.11280000000000001</v>
      </c>
      <c r="M15" s="60">
        <f t="shared" si="1"/>
        <v>0.13691999999999999</v>
      </c>
      <c r="N15" s="60">
        <f t="shared" si="1"/>
        <v>8.9760000000000006E-2</v>
      </c>
      <c r="O15" s="60">
        <f t="shared" si="1"/>
        <v>5.808E-2</v>
      </c>
      <c r="P15" s="60">
        <f t="shared" si="1"/>
        <v>7.5840000000000005E-2</v>
      </c>
      <c r="Q15" s="60">
        <f t="shared" si="1"/>
        <v>2.6700000000000002E-2</v>
      </c>
      <c r="R15" s="60">
        <f t="shared" si="1"/>
        <v>0.6</v>
      </c>
    </row>
    <row r="16" spans="1:18" ht="18" customHeight="1" x14ac:dyDescent="0.25">
      <c r="A16" s="365"/>
      <c r="B16" s="366"/>
      <c r="C16" s="367"/>
      <c r="D16" s="367"/>
      <c r="E16" s="91"/>
      <c r="F16" s="91"/>
      <c r="G16" s="91"/>
      <c r="H16" s="83"/>
      <c r="I16" s="368"/>
      <c r="J16" s="368"/>
      <c r="K16" s="91"/>
      <c r="L16" s="91"/>
      <c r="M16" s="91"/>
      <c r="N16" s="91"/>
      <c r="O16" s="91"/>
      <c r="P16" s="91"/>
      <c r="Q16" s="91"/>
      <c r="R16" s="91"/>
    </row>
    <row r="17" spans="1:18" ht="16.5" thickBot="1" x14ac:dyDescent="0.3">
      <c r="B17" s="63" t="s">
        <v>138</v>
      </c>
      <c r="H17" s="83"/>
    </row>
    <row r="18" spans="1:18" x14ac:dyDescent="0.25">
      <c r="A18" s="64"/>
      <c r="B18" s="65"/>
      <c r="C18" s="66"/>
      <c r="D18" s="67"/>
      <c r="E18" s="29"/>
      <c r="F18" s="30"/>
      <c r="G18" s="30"/>
      <c r="H18" s="83"/>
      <c r="I18" s="31"/>
      <c r="J18" s="31"/>
      <c r="K18" s="68" t="s">
        <v>0</v>
      </c>
      <c r="L18" s="69" t="s">
        <v>18</v>
      </c>
      <c r="M18" s="69" t="s">
        <v>19</v>
      </c>
      <c r="N18" s="69" t="s">
        <v>20</v>
      </c>
      <c r="O18" s="69" t="s">
        <v>21</v>
      </c>
      <c r="P18" s="70" t="s">
        <v>22</v>
      </c>
      <c r="Q18" s="69" t="s">
        <v>5</v>
      </c>
      <c r="R18" s="69" t="s">
        <v>6</v>
      </c>
    </row>
    <row r="19" spans="1:18" ht="25.5" x14ac:dyDescent="0.25">
      <c r="A19" s="72" t="s">
        <v>34</v>
      </c>
      <c r="B19" s="73" t="s">
        <v>145</v>
      </c>
      <c r="C19" s="74"/>
      <c r="D19" s="360" t="s">
        <v>35</v>
      </c>
      <c r="E19" s="38" t="s">
        <v>26</v>
      </c>
      <c r="F19" s="38" t="s">
        <v>151</v>
      </c>
      <c r="G19" s="38" t="s">
        <v>476</v>
      </c>
      <c r="H19" s="83"/>
      <c r="I19" s="39" t="s">
        <v>28</v>
      </c>
      <c r="J19" s="39"/>
      <c r="K19" s="33"/>
      <c r="L19" s="34" t="s">
        <v>29</v>
      </c>
      <c r="M19" s="33" t="s">
        <v>30</v>
      </c>
      <c r="N19" s="34" t="s">
        <v>31</v>
      </c>
      <c r="O19" s="35" t="s">
        <v>32</v>
      </c>
      <c r="P19" s="35" t="s">
        <v>33</v>
      </c>
      <c r="Q19" s="34"/>
      <c r="R19" s="34"/>
    </row>
    <row r="20" spans="1:18" ht="13.5" thickBot="1" x14ac:dyDescent="0.3">
      <c r="A20" s="75"/>
      <c r="B20" s="363" t="s">
        <v>457</v>
      </c>
      <c r="C20" s="76"/>
      <c r="D20" s="77"/>
      <c r="E20" s="41" t="s">
        <v>9</v>
      </c>
      <c r="F20" s="42" t="s">
        <v>9</v>
      </c>
      <c r="G20" s="42" t="s">
        <v>9</v>
      </c>
      <c r="H20" s="83"/>
      <c r="I20" s="43"/>
      <c r="J20" s="43"/>
      <c r="K20" s="45" t="s">
        <v>7</v>
      </c>
      <c r="L20" s="45" t="s">
        <v>7</v>
      </c>
      <c r="M20" s="45" t="s">
        <v>7</v>
      </c>
      <c r="N20" s="46" t="s">
        <v>7</v>
      </c>
      <c r="O20" s="47" t="s">
        <v>7</v>
      </c>
      <c r="P20" s="45" t="s">
        <v>7</v>
      </c>
      <c r="Q20" s="46" t="s">
        <v>8</v>
      </c>
      <c r="R20" s="46"/>
    </row>
    <row r="21" spans="1:18" x14ac:dyDescent="0.2">
      <c r="A21" s="80" t="s">
        <v>456</v>
      </c>
      <c r="B21" s="369" t="s">
        <v>458</v>
      </c>
      <c r="C21" s="131"/>
      <c r="D21" s="360"/>
      <c r="E21" s="126">
        <v>0.60799999999999998</v>
      </c>
      <c r="F21" s="126">
        <v>1</v>
      </c>
      <c r="G21" s="126">
        <v>2</v>
      </c>
      <c r="H21" s="83"/>
      <c r="I21" s="39"/>
      <c r="J21" s="92" t="s">
        <v>456</v>
      </c>
      <c r="K21" s="56">
        <v>5.9900000000000002E-2</v>
      </c>
      <c r="L21" s="56">
        <v>0.23880000000000001</v>
      </c>
      <c r="M21" s="56">
        <v>0</v>
      </c>
      <c r="N21" s="56">
        <v>0.17460000000000001</v>
      </c>
      <c r="O21" s="56">
        <v>0.113</v>
      </c>
      <c r="P21" s="56">
        <v>8.9999999999999993E-3</v>
      </c>
      <c r="Q21" s="56">
        <v>1.2999999999999999E-2</v>
      </c>
      <c r="R21" s="85">
        <f t="shared" ref="R21" si="2">SUM(K21:Q21)</f>
        <v>0.60830000000000006</v>
      </c>
    </row>
    <row r="22" spans="1:18" x14ac:dyDescent="0.2">
      <c r="A22" s="80"/>
      <c r="B22" s="101"/>
      <c r="C22" s="111"/>
      <c r="D22" s="113"/>
      <c r="E22" s="50"/>
      <c r="F22" s="50"/>
      <c r="G22" s="50"/>
      <c r="H22" s="83"/>
      <c r="I22" s="51"/>
      <c r="J22" s="92"/>
      <c r="K22" s="56"/>
      <c r="L22" s="56"/>
      <c r="M22" s="56"/>
      <c r="N22" s="56"/>
      <c r="O22" s="56"/>
      <c r="P22" s="56"/>
      <c r="Q22" s="56"/>
      <c r="R22" s="85"/>
    </row>
    <row r="23" spans="1:18" x14ac:dyDescent="0.2">
      <c r="A23" s="80"/>
      <c r="B23" s="101"/>
      <c r="C23" s="111"/>
      <c r="D23" s="113"/>
      <c r="E23" s="50"/>
      <c r="F23" s="50"/>
      <c r="G23" s="50"/>
      <c r="H23" s="83"/>
      <c r="I23" s="51"/>
      <c r="J23" s="79"/>
      <c r="K23" s="56"/>
      <c r="L23" s="56"/>
      <c r="M23" s="56"/>
      <c r="N23" s="56"/>
      <c r="O23" s="56"/>
      <c r="P23" s="56"/>
      <c r="Q23" s="56"/>
      <c r="R23" s="49"/>
    </row>
    <row r="24" spans="1:18" ht="13.5" thickBot="1" x14ac:dyDescent="0.25">
      <c r="A24" s="170"/>
      <c r="B24" s="171"/>
      <c r="C24" s="172"/>
      <c r="D24" s="173"/>
      <c r="E24" s="93"/>
      <c r="F24" s="93"/>
      <c r="G24" s="93"/>
      <c r="H24" s="83"/>
      <c r="I24" s="94"/>
      <c r="J24" s="124"/>
      <c r="K24" s="93"/>
      <c r="L24" s="93"/>
      <c r="M24" s="93"/>
      <c r="N24" s="93"/>
      <c r="O24" s="93"/>
      <c r="P24" s="93"/>
      <c r="Q24" s="93"/>
      <c r="R24" s="95"/>
    </row>
    <row r="25" spans="1:18" ht="13.5" thickBot="1" x14ac:dyDescent="0.3">
      <c r="A25" s="114"/>
      <c r="B25" s="59" t="s">
        <v>616</v>
      </c>
      <c r="C25" s="115"/>
      <c r="D25" s="115"/>
      <c r="E25" s="60">
        <f>SUM(E21:E24)</f>
        <v>0.60799999999999998</v>
      </c>
      <c r="F25" s="60">
        <f>SUM(F21:F24)</f>
        <v>1</v>
      </c>
      <c r="G25" s="60">
        <f>SUM(G21:G24)</f>
        <v>2</v>
      </c>
      <c r="H25" s="83"/>
      <c r="I25" s="116"/>
      <c r="J25" s="116"/>
      <c r="K25" s="60">
        <f t="shared" ref="K25:R25" si="3">SUM(K21:K23)</f>
        <v>5.9900000000000002E-2</v>
      </c>
      <c r="L25" s="60">
        <f t="shared" si="3"/>
        <v>0.23880000000000001</v>
      </c>
      <c r="M25" s="60">
        <f t="shared" si="3"/>
        <v>0</v>
      </c>
      <c r="N25" s="60">
        <f t="shared" si="3"/>
        <v>0.17460000000000001</v>
      </c>
      <c r="O25" s="60">
        <f t="shared" si="3"/>
        <v>0.113</v>
      </c>
      <c r="P25" s="60">
        <f t="shared" si="3"/>
        <v>8.9999999999999993E-3</v>
      </c>
      <c r="Q25" s="60">
        <f t="shared" si="3"/>
        <v>1.2999999999999999E-2</v>
      </c>
      <c r="R25" s="60">
        <f t="shared" si="3"/>
        <v>0.60830000000000006</v>
      </c>
    </row>
    <row r="31" spans="1:18" x14ac:dyDescent="0.25">
      <c r="I31" s="498"/>
    </row>
  </sheetData>
  <pageMargins left="0.23622047244094491" right="0.23622047244094491" top="0.59055118110236227" bottom="0.59055118110236227" header="0.19685039370078741" footer="0.19685039370078741"/>
  <pageSetup paperSize="8" scale="75" fitToHeight="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2:R20"/>
  <sheetViews>
    <sheetView zoomScale="80" zoomScaleNormal="80" zoomScaleSheetLayoutView="76" workbookViewId="0">
      <selection sqref="A1:K41"/>
    </sheetView>
  </sheetViews>
  <sheetFormatPr defaultColWidth="19.140625" defaultRowHeight="12.75" outlineLevelCol="1" x14ac:dyDescent="0.25"/>
  <cols>
    <col min="1" max="1" width="15.42578125" style="2" customWidth="1"/>
    <col min="2" max="2" width="56.28515625" style="3" customWidth="1"/>
    <col min="3" max="3" width="14.28515625" style="4" hidden="1" customWidth="1"/>
    <col min="4" max="4" width="14.28515625" style="5" hidden="1" customWidth="1"/>
    <col min="5" max="5" width="11.5703125" style="6" customWidth="1"/>
    <col min="6" max="7" width="11.5703125" style="4" customWidth="1"/>
    <col min="8" max="8" width="11.5703125" style="7" customWidth="1"/>
    <col min="9" max="9" width="11.5703125" style="8" hidden="1" customWidth="1" outlineLevel="1"/>
    <col min="10" max="10" width="43.28515625" style="9" hidden="1" customWidth="1" outlineLevel="1"/>
    <col min="11" max="17" width="11.5703125" style="4" customWidth="1" outlineLevel="1"/>
    <col min="18" max="18" width="11.5703125" style="6" customWidth="1" outlineLevel="1"/>
    <col min="19" max="22" width="10" style="4" customWidth="1"/>
    <col min="23" max="23" width="13.42578125" style="4" customWidth="1"/>
    <col min="24" max="24" width="10" style="4" customWidth="1"/>
    <col min="25" max="16384" width="19.140625" style="4"/>
  </cols>
  <sheetData>
    <row r="2" spans="1:18" ht="26.25" x14ac:dyDescent="0.25">
      <c r="A2" s="10" t="str">
        <f>'Table 3 - Rollover Baseline'!A2</f>
        <v>2018-21 Financial Plan</v>
      </c>
      <c r="B2" s="10"/>
      <c r="C2" s="11"/>
      <c r="D2" s="12"/>
      <c r="G2" s="13"/>
    </row>
    <row r="3" spans="1:18" ht="26.25" x14ac:dyDescent="0.4">
      <c r="A3" s="14" t="s">
        <v>14</v>
      </c>
      <c r="B3" s="14"/>
      <c r="D3" s="12"/>
      <c r="G3" s="15" t="s">
        <v>162</v>
      </c>
      <c r="I3" s="18"/>
      <c r="J3" s="19"/>
      <c r="K3" s="16" t="s">
        <v>15</v>
      </c>
      <c r="L3" s="17"/>
      <c r="M3" s="17"/>
      <c r="N3" s="17"/>
      <c r="O3" s="17"/>
      <c r="P3" s="17"/>
      <c r="Q3" s="17"/>
      <c r="R3" s="20"/>
    </row>
    <row r="4" spans="1:18" ht="18" customHeight="1" x14ac:dyDescent="0.2">
      <c r="A4" s="21"/>
      <c r="B4" s="21"/>
      <c r="D4" s="22"/>
      <c r="K4" s="23"/>
      <c r="L4" s="23"/>
      <c r="M4" s="23"/>
      <c r="N4" s="23"/>
      <c r="O4" s="23"/>
      <c r="P4" s="23"/>
      <c r="Q4" s="23"/>
      <c r="R4" s="24"/>
    </row>
    <row r="5" spans="1:18" ht="18" customHeight="1" thickBot="1" x14ac:dyDescent="0.3">
      <c r="A5" s="25" t="s">
        <v>471</v>
      </c>
      <c r="B5" s="25"/>
      <c r="D5" s="12"/>
      <c r="K5" s="26"/>
      <c r="L5" s="26"/>
      <c r="M5" s="26"/>
      <c r="N5" s="26"/>
      <c r="O5" s="26"/>
      <c r="P5" s="26"/>
      <c r="Q5" s="26"/>
      <c r="R5" s="27"/>
    </row>
    <row r="6" spans="1:18" ht="18.75" customHeight="1" x14ac:dyDescent="0.25">
      <c r="B6" s="61"/>
      <c r="D6" s="62"/>
    </row>
    <row r="7" spans="1:18" x14ac:dyDescent="0.25">
      <c r="H7" s="83"/>
      <c r="I7" s="4"/>
      <c r="J7" s="4"/>
    </row>
    <row r="8" spans="1:18" ht="16.5" thickBot="1" x14ac:dyDescent="0.3">
      <c r="B8" s="63" t="s">
        <v>475</v>
      </c>
      <c r="H8" s="83"/>
      <c r="R8" s="4"/>
    </row>
    <row r="9" spans="1:18" x14ac:dyDescent="0.25">
      <c r="A9" s="64"/>
      <c r="B9" s="65"/>
      <c r="C9" s="66"/>
      <c r="D9" s="67"/>
      <c r="E9" s="29"/>
      <c r="F9" s="29"/>
      <c r="G9" s="29"/>
      <c r="H9" s="83"/>
      <c r="I9" s="31"/>
      <c r="J9" s="32"/>
      <c r="K9" s="68" t="s">
        <v>0</v>
      </c>
      <c r="L9" s="69" t="s">
        <v>18</v>
      </c>
      <c r="M9" s="69" t="s">
        <v>19</v>
      </c>
      <c r="N9" s="69" t="s">
        <v>20</v>
      </c>
      <c r="O9" s="69" t="s">
        <v>21</v>
      </c>
      <c r="P9" s="70" t="s">
        <v>22</v>
      </c>
      <c r="Q9" s="69" t="s">
        <v>5</v>
      </c>
      <c r="R9" s="69" t="s">
        <v>6</v>
      </c>
    </row>
    <row r="10" spans="1:18" ht="39.75" customHeight="1" x14ac:dyDescent="0.25">
      <c r="A10" s="72" t="s">
        <v>34</v>
      </c>
      <c r="B10" s="73" t="s">
        <v>471</v>
      </c>
      <c r="C10" s="74"/>
      <c r="D10" s="361" t="s">
        <v>35</v>
      </c>
      <c r="E10" s="38" t="s">
        <v>26</v>
      </c>
      <c r="F10" s="38" t="s">
        <v>151</v>
      </c>
      <c r="G10" s="38" t="s">
        <v>476</v>
      </c>
      <c r="H10" s="83"/>
      <c r="I10" s="39" t="s">
        <v>28</v>
      </c>
      <c r="J10" s="40"/>
      <c r="K10" s="33"/>
      <c r="L10" s="34" t="s">
        <v>29</v>
      </c>
      <c r="M10" s="33" t="s">
        <v>30</v>
      </c>
      <c r="N10" s="34" t="s">
        <v>31</v>
      </c>
      <c r="O10" s="35" t="s">
        <v>32</v>
      </c>
      <c r="P10" s="35" t="s">
        <v>33</v>
      </c>
      <c r="Q10" s="34"/>
      <c r="R10" s="34"/>
    </row>
    <row r="11" spans="1:18" ht="13.5" thickBot="1" x14ac:dyDescent="0.3">
      <c r="A11" s="75"/>
      <c r="B11" s="75"/>
      <c r="C11" s="76"/>
      <c r="D11" s="104"/>
      <c r="E11" s="41" t="s">
        <v>9</v>
      </c>
      <c r="F11" s="41" t="s">
        <v>9</v>
      </c>
      <c r="G11" s="41" t="s">
        <v>9</v>
      </c>
      <c r="H11" s="83"/>
      <c r="I11" s="43"/>
      <c r="J11" s="44"/>
      <c r="K11" s="45" t="s">
        <v>7</v>
      </c>
      <c r="L11" s="45" t="s">
        <v>7</v>
      </c>
      <c r="M11" s="45" t="s">
        <v>7</v>
      </c>
      <c r="N11" s="46" t="s">
        <v>7</v>
      </c>
      <c r="O11" s="47" t="s">
        <v>7</v>
      </c>
      <c r="P11" s="45" t="s">
        <v>7</v>
      </c>
      <c r="Q11" s="46" t="s">
        <v>8</v>
      </c>
      <c r="R11" s="46"/>
    </row>
    <row r="12" spans="1:18" ht="16.5" customHeight="1" thickBot="1" x14ac:dyDescent="0.3">
      <c r="A12" s="370"/>
      <c r="B12" s="371" t="s">
        <v>472</v>
      </c>
      <c r="C12" s="372"/>
      <c r="D12" s="373"/>
      <c r="E12" s="374" t="s">
        <v>617</v>
      </c>
      <c r="F12" s="374" t="s">
        <v>617</v>
      </c>
      <c r="G12" s="374" t="s">
        <v>617</v>
      </c>
      <c r="H12" s="83"/>
      <c r="I12" s="392"/>
      <c r="J12" s="79"/>
      <c r="K12" s="56"/>
      <c r="L12" s="56"/>
      <c r="M12" s="56"/>
      <c r="N12" s="56"/>
      <c r="O12" s="56"/>
      <c r="P12" s="56"/>
      <c r="Q12" s="56"/>
      <c r="R12" s="49"/>
    </row>
    <row r="13" spans="1:18" ht="16.5" customHeight="1" thickBot="1" x14ac:dyDescent="0.3">
      <c r="A13" s="376"/>
      <c r="B13" s="377" t="s">
        <v>473</v>
      </c>
      <c r="C13" s="378"/>
      <c r="D13" s="379"/>
      <c r="E13" s="374" t="s">
        <v>617</v>
      </c>
      <c r="F13" s="374" t="s">
        <v>617</v>
      </c>
      <c r="G13" s="374" t="s">
        <v>617</v>
      </c>
      <c r="H13" s="83"/>
      <c r="I13" s="117"/>
      <c r="J13" s="79"/>
      <c r="K13" s="56"/>
      <c r="L13" s="56"/>
      <c r="M13" s="56"/>
      <c r="N13" s="56"/>
      <c r="O13" s="56"/>
      <c r="P13" s="56"/>
      <c r="Q13" s="56"/>
      <c r="R13" s="49"/>
    </row>
    <row r="14" spans="1:18" ht="16.5" customHeight="1" thickBot="1" x14ac:dyDescent="0.3">
      <c r="A14" s="376"/>
      <c r="B14" s="377" t="s">
        <v>474</v>
      </c>
      <c r="C14" s="378"/>
      <c r="D14" s="379"/>
      <c r="E14" s="374" t="s">
        <v>617</v>
      </c>
      <c r="F14" s="374" t="s">
        <v>617</v>
      </c>
      <c r="G14" s="374" t="s">
        <v>617</v>
      </c>
      <c r="H14" s="83"/>
      <c r="I14" s="117"/>
      <c r="J14" s="79"/>
      <c r="K14" s="56"/>
      <c r="L14" s="56"/>
      <c r="M14" s="56"/>
      <c r="N14" s="56"/>
      <c r="O14" s="56"/>
      <c r="P14" s="56"/>
      <c r="Q14" s="56"/>
      <c r="R14" s="49"/>
    </row>
    <row r="15" spans="1:18" ht="22.5" customHeight="1" thickBot="1" x14ac:dyDescent="0.3">
      <c r="A15" s="382"/>
      <c r="B15" s="377" t="s">
        <v>95</v>
      </c>
      <c r="C15" s="383"/>
      <c r="D15" s="384"/>
      <c r="E15" s="374" t="s">
        <v>617</v>
      </c>
      <c r="F15" s="374" t="s">
        <v>617</v>
      </c>
      <c r="G15" s="374" t="s">
        <v>617</v>
      </c>
      <c r="H15" s="83"/>
      <c r="I15" s="117"/>
      <c r="J15" s="79"/>
      <c r="K15" s="56"/>
      <c r="L15" s="56"/>
      <c r="M15" s="56"/>
      <c r="N15" s="56"/>
      <c r="O15" s="56"/>
      <c r="P15" s="56"/>
      <c r="Q15" s="56"/>
      <c r="R15" s="49"/>
    </row>
    <row r="16" spans="1:18" ht="22.5" customHeight="1" x14ac:dyDescent="0.25">
      <c r="A16" s="376"/>
      <c r="B16" s="377" t="s">
        <v>201</v>
      </c>
      <c r="C16" s="383"/>
      <c r="D16" s="384"/>
      <c r="E16" s="374" t="s">
        <v>617</v>
      </c>
      <c r="F16" s="374" t="s">
        <v>617</v>
      </c>
      <c r="G16" s="374" t="s">
        <v>617</v>
      </c>
      <c r="H16" s="83"/>
      <c r="I16" s="117"/>
      <c r="J16" s="79"/>
      <c r="K16" s="56"/>
      <c r="L16" s="56"/>
      <c r="M16" s="56"/>
      <c r="N16" s="56"/>
      <c r="O16" s="56"/>
      <c r="P16" s="56"/>
      <c r="Q16" s="56"/>
      <c r="R16" s="49"/>
    </row>
    <row r="17" spans="1:18" ht="16.5" customHeight="1" thickBot="1" x14ac:dyDescent="0.25">
      <c r="A17" s="387"/>
      <c r="B17" s="388"/>
      <c r="C17" s="388"/>
      <c r="D17" s="389"/>
      <c r="E17" s="390"/>
      <c r="F17" s="390"/>
      <c r="G17" s="391"/>
      <c r="H17" s="83"/>
      <c r="I17" s="94"/>
      <c r="J17" s="79"/>
      <c r="K17" s="56"/>
      <c r="L17" s="56"/>
      <c r="M17" s="56"/>
      <c r="N17" s="56"/>
      <c r="O17" s="56"/>
      <c r="P17" s="56"/>
      <c r="Q17" s="56"/>
      <c r="R17" s="49"/>
    </row>
    <row r="18" spans="1:18" ht="13.5" thickBot="1" x14ac:dyDescent="0.3">
      <c r="A18" s="81"/>
      <c r="B18" s="102"/>
      <c r="C18" s="86"/>
      <c r="D18" s="87"/>
      <c r="E18" s="60">
        <f>SUM(E12:E17)</f>
        <v>0</v>
      </c>
      <c r="F18" s="60">
        <f>SUM(F12:F17)</f>
        <v>0</v>
      </c>
      <c r="G18" s="60">
        <f>SUM(G12:G17)</f>
        <v>0</v>
      </c>
      <c r="H18" s="83"/>
      <c r="I18" s="88"/>
      <c r="J18" s="89"/>
      <c r="K18" s="60">
        <f t="shared" ref="K18:Q18" si="0">SUM(K12:K17)</f>
        <v>0</v>
      </c>
      <c r="L18" s="60">
        <f t="shared" si="0"/>
        <v>0</v>
      </c>
      <c r="M18" s="60">
        <f t="shared" si="0"/>
        <v>0</v>
      </c>
      <c r="N18" s="60">
        <f t="shared" si="0"/>
        <v>0</v>
      </c>
      <c r="O18" s="60">
        <f t="shared" si="0"/>
        <v>0</v>
      </c>
      <c r="P18" s="60">
        <f t="shared" si="0"/>
        <v>0</v>
      </c>
      <c r="Q18" s="60">
        <f t="shared" si="0"/>
        <v>0</v>
      </c>
      <c r="R18" s="60">
        <f t="shared" ref="R18" si="1">SUM(K18:Q18)</f>
        <v>0</v>
      </c>
    </row>
    <row r="19" spans="1:18" x14ac:dyDescent="0.25">
      <c r="F19" s="6"/>
      <c r="H19" s="83"/>
      <c r="J19" s="8"/>
      <c r="R19" s="4"/>
    </row>
    <row r="20" spans="1:18" x14ac:dyDescent="0.25">
      <c r="E20" s="6">
        <f>2.586+E18</f>
        <v>2.5859999999999999</v>
      </c>
    </row>
  </sheetData>
  <pageMargins left="0.23622047244094491" right="0.23622047244094491" top="0.59055118110236227" bottom="0.59055118110236227" header="0.19685039370078741" footer="0.19685039370078741"/>
  <pageSetup paperSize="8" scale="73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11</vt:i4>
      </vt:variant>
    </vt:vector>
  </HeadingPairs>
  <TitlesOfParts>
    <vt:vector size="23" baseType="lpstr">
      <vt:lpstr>Summary </vt:lpstr>
      <vt:lpstr>Summary Including HRG4+</vt:lpstr>
      <vt:lpstr>Table 2 - Income</vt:lpstr>
      <vt:lpstr>Table 3 - Rollover Baseline</vt:lpstr>
      <vt:lpstr>Table 4 - Welsh Inflation</vt:lpstr>
      <vt:lpstr>Table 5 - VBC Workstreams</vt:lpstr>
      <vt:lpstr>Table 6 - Growth</vt:lpstr>
      <vt:lpstr>Table 7 - Horizon Scanning</vt:lpstr>
      <vt:lpstr>Table 8 - New Services</vt:lpstr>
      <vt:lpstr>Table 9 - CIAG Schemes</vt:lpstr>
      <vt:lpstr>Table 10 - EASC &amp; QAT</vt:lpstr>
      <vt:lpstr>Commissioner Splits</vt:lpstr>
      <vt:lpstr>'Commissioner Splits'!Print_Area</vt:lpstr>
      <vt:lpstr>'Summary '!Print_Area</vt:lpstr>
      <vt:lpstr>'Summary Including HRG4+'!Print_Area</vt:lpstr>
      <vt:lpstr>'Table 2 - Income'!Print_Area</vt:lpstr>
      <vt:lpstr>'Table 3 - Rollover Baseline'!Print_Area</vt:lpstr>
      <vt:lpstr>'Table 4 - Welsh Inflation'!Print_Area</vt:lpstr>
      <vt:lpstr>'Table 5 - VBC Workstreams'!Print_Area</vt:lpstr>
      <vt:lpstr>'Table 6 - Growth'!Print_Area</vt:lpstr>
      <vt:lpstr>'Table 7 - Horizon Scanning'!Print_Area</vt:lpstr>
      <vt:lpstr>'Table 8 - New Services'!Print_Area</vt:lpstr>
      <vt:lpstr>'Table 9 - CIAG Schemes'!Print_Area</vt:lpstr>
    </vt:vector>
  </TitlesOfParts>
  <Company>Cwm Taf University Health Board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Ja082873</dc:creator>
  <cp:lastModifiedBy>Ja082873</cp:lastModifiedBy>
  <cp:lastPrinted>2018-03-19T09:26:03Z</cp:lastPrinted>
  <dcterms:created xsi:type="dcterms:W3CDTF">2017-01-03T16:19:01Z</dcterms:created>
  <dcterms:modified xsi:type="dcterms:W3CDTF">2018-03-19T12:24:14Z</dcterms:modified>
</cp:coreProperties>
</file>